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2016 Capital Plan\cedarbrook\cedarbrook.rebuild.new.analysis.8.5.15\"/>
    </mc:Choice>
  </mc:AlternateContent>
  <bookViews>
    <workbookView xWindow="0" yWindow="0" windowWidth="25200" windowHeight="12135"/>
  </bookViews>
  <sheets>
    <sheet name="Full rebuild" sheetId="1" r:id="rId1"/>
    <sheet name="Rebuild D&amp;C, B apts" sheetId="3" r:id="rId2"/>
    <sheet name="Rebuild D only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_pg1" localSheetId="2">#REF!</definedName>
    <definedName name="_pg1">#REF!</definedName>
    <definedName name="_pg2" localSheetId="2">#REF!</definedName>
    <definedName name="_pg2" localSheetId="1">#REF!</definedName>
    <definedName name="_pg2">#REF!</definedName>
    <definedName name="ABC">[2]INPT.XLS!$A$429</definedName>
    <definedName name="accrueap" localSheetId="2">#REF!</definedName>
    <definedName name="accrueap">#REF!</definedName>
    <definedName name="accruenews" localSheetId="2">#REF!</definedName>
    <definedName name="accruenews">#REF!</definedName>
    <definedName name="accrueothr" localSheetId="2">#REF!</definedName>
    <definedName name="accrueothr">#REF!</definedName>
    <definedName name="accruepayroll" localSheetId="2">#REF!</definedName>
    <definedName name="accruepayroll">#REF!</definedName>
    <definedName name="accrueprother" localSheetId="2">#REF!</definedName>
    <definedName name="accrueprother">#REF!</definedName>
    <definedName name="acctsreceivablebalance" localSheetId="2">'[3]P&amp;L'!#REF!</definedName>
    <definedName name="acctsreceivablebalance" localSheetId="1">'[3]P&amp;L'!#REF!</definedName>
    <definedName name="acctsreceivablebalance">'[3]P&amp;L'!#REF!</definedName>
    <definedName name="adrevprior" localSheetId="2">[3]advertising!#REF!</definedName>
    <definedName name="adrevprior" localSheetId="1">[3]advertising!#REF!</definedName>
    <definedName name="adrevprior">[3]advertising!#REF!</definedName>
    <definedName name="advolumecurrent" localSheetId="2">[3]advertising!#REF!</definedName>
    <definedName name="advolumecurrent" localSheetId="1">[3]advertising!#REF!</definedName>
    <definedName name="advolumecurrent">[3]advertising!#REF!</definedName>
    <definedName name="advolumeprior" localSheetId="2">[3]advertising!#REF!</definedName>
    <definedName name="advolumeprior" localSheetId="1">[3]advertising!#REF!</definedName>
    <definedName name="advolumeprior">[3]advertising!#REF!</definedName>
    <definedName name="benealloc" localSheetId="2">#REF!</definedName>
    <definedName name="benealloc">#REF!</definedName>
    <definedName name="black1">'[4]blackink inv 99'!$A$1:$K$37</definedName>
    <definedName name="bookdepreciation" localSheetId="2">'[3]P&amp;L'!#REF!</definedName>
    <definedName name="bookdepreciation" localSheetId="1">'[3]P&amp;L'!#REF!</definedName>
    <definedName name="bookdepreciation">'[3]P&amp;L'!#REF!</definedName>
    <definedName name="bridgeinfo" localSheetId="2">'[3]P&amp;L'!#REF!</definedName>
    <definedName name="bridgeinfo" localSheetId="1">'[3]P&amp;L'!#REF!</definedName>
    <definedName name="bridgeinfo">'[3]P&amp;L'!#REF!</definedName>
    <definedName name="callacctng" localSheetId="2">#REF!</definedName>
    <definedName name="callacctng">#REF!</definedName>
    <definedName name="capinterestrounded" localSheetId="2">'[3]P&amp;L'!#REF!</definedName>
    <definedName name="capinterestrounded" localSheetId="1">'[3]P&amp;L'!#REF!</definedName>
    <definedName name="capinterestrounded">'[3]P&amp;L'!#REF!</definedName>
    <definedName name="capital" localSheetId="2">#REF!</definedName>
    <definedName name="capital">#REF!</definedName>
    <definedName name="classifiedadrev" localSheetId="2">[3]advertising!#REF!</definedName>
    <definedName name="classifiedadrev" localSheetId="1">[3]advertising!#REF!</definedName>
    <definedName name="classifiedadrev">[3]advertising!#REF!</definedName>
    <definedName name="color1">'[4]colorink inv 99'!$A$1:$U$41</definedName>
    <definedName name="comics" localSheetId="2">#REF!</definedName>
    <definedName name="comics">#REF!</definedName>
    <definedName name="cooppay" localSheetId="2">#REF!</definedName>
    <definedName name="cooppay">#REF!</definedName>
    <definedName name="coopte" localSheetId="2">#REF!</definedName>
    <definedName name="coopte">#REF!</definedName>
    <definedName name="copies_summ" localSheetId="2">#REF!</definedName>
    <definedName name="copies_summ">#REF!</definedName>
    <definedName name="copiesall" localSheetId="2">#REF!</definedName>
    <definedName name="copiesall">#REF!</definedName>
    <definedName name="copiesngh" localSheetId="2">#REF!</definedName>
    <definedName name="copiesngh">#REF!</definedName>
    <definedName name="_xlnm.Criteria" localSheetId="2">#REF!</definedName>
    <definedName name="_xlnm.Criteria">#REF!</definedName>
    <definedName name="Criteria_MI" localSheetId="2">#REF!</definedName>
    <definedName name="Criteria_MI">#REF!</definedName>
    <definedName name="Data" localSheetId="2">#REF!</definedName>
    <definedName name="Data">#REF!</definedName>
    <definedName name="_xlnm.Database" localSheetId="2">#REF!</definedName>
    <definedName name="_xlnm.Database">#REF!</definedName>
    <definedName name="Database_MI" localSheetId="2">#REF!</definedName>
    <definedName name="Database_MI">#REF!</definedName>
    <definedName name="depreciate" localSheetId="2">#REF!</definedName>
    <definedName name="depreciate">#REF!</definedName>
    <definedName name="etr" localSheetId="2">#REF!</definedName>
    <definedName name="etr" localSheetId="1">#REF!</definedName>
    <definedName name="etr">#REF!</definedName>
    <definedName name="inv" localSheetId="2">#REF!</definedName>
    <definedName name="inv">#REF!</definedName>
    <definedName name="inventorybalance" localSheetId="2">#REF!</definedName>
    <definedName name="inventorybalance">#REF!</definedName>
    <definedName name="isomortg" localSheetId="2">#REF!</definedName>
    <definedName name="isomortg">#REF!</definedName>
    <definedName name="JE" localSheetId="2">#REF!</definedName>
    <definedName name="JE">#REF!</definedName>
    <definedName name="masthead" localSheetId="2">#REF!</definedName>
    <definedName name="masthead">#REF!</definedName>
    <definedName name="miss_short" localSheetId="2">#REF!</definedName>
    <definedName name="miss_short">#REF!</definedName>
    <definedName name="nationaladrev" localSheetId="2">[3]advertising!#REF!</definedName>
    <definedName name="nationaladrev" localSheetId="1">[3]advertising!#REF!</definedName>
    <definedName name="nationaladrev">[3]advertising!#REF!</definedName>
    <definedName name="Neighbors" localSheetId="2">[5]PAID.XLS!#REF!</definedName>
    <definedName name="Neighbors" localSheetId="1">[5]PAID.XLS!#REF!</definedName>
    <definedName name="Neighbors">[5]PAID.XLS!#REF!</definedName>
    <definedName name="newsadj" localSheetId="2">#REF!</definedName>
    <definedName name="newsadj">#REF!</definedName>
    <definedName name="No">"Drop Down 2"</definedName>
    <definedName name="oldplts" localSheetId="2">#REF!</definedName>
    <definedName name="oldplts">#REF!</definedName>
    <definedName name="otheradrev" localSheetId="2">#REF!</definedName>
    <definedName name="otheradrev">#REF!</definedName>
    <definedName name="otheroprevenue" localSheetId="2">'[3]other rev'!#REF!</definedName>
    <definedName name="otheroprevenue" localSheetId="1">'[3]other rev'!#REF!</definedName>
    <definedName name="otheroprevenue">'[3]other rev'!#REF!</definedName>
    <definedName name="page1" localSheetId="2">#REF!</definedName>
    <definedName name="page1">#REF!</definedName>
    <definedName name="page2" localSheetId="2">#REF!</definedName>
    <definedName name="page2">#REF!</definedName>
    <definedName name="pages" localSheetId="2">#REF!</definedName>
    <definedName name="pages">#REF!</definedName>
    <definedName name="PERIOD" localSheetId="2">[6]ROI!#REF!</definedName>
    <definedName name="PERIOD" localSheetId="1">[6]ROI!#REF!</definedName>
    <definedName name="PERIOD">[6]ROI!#REF!</definedName>
    <definedName name="permaccrue" localSheetId="2">#REF!</definedName>
    <definedName name="permaccrue">#REF!</definedName>
    <definedName name="phone" localSheetId="2">#REF!</definedName>
    <definedName name="phone">#REF!</definedName>
    <definedName name="plates" localSheetId="2">#REF!</definedName>
    <definedName name="plates">#REF!</definedName>
    <definedName name="pressoverrn" localSheetId="2">#REF!</definedName>
    <definedName name="pressoverrn">#REF!</definedName>
    <definedName name="pretaxincome" localSheetId="2">'[3]P&amp;L'!#REF!</definedName>
    <definedName name="pretaxincome" localSheetId="1">'[3]P&amp;L'!#REF!</definedName>
    <definedName name="pretaxincome">'[3]P&amp;L'!#REF!</definedName>
    <definedName name="PRINT" localSheetId="2">#REF!</definedName>
    <definedName name="PRINT">#REF!</definedName>
    <definedName name="_xlnm.Print_Titles" localSheetId="0">'Full rebuild'!$A:$B,'Full rebuild'!$1:$7</definedName>
    <definedName name="_xlnm.Print_Titles" localSheetId="2">'Rebuild D only'!$A:$B,'Rebuild D only'!$1:$7</definedName>
    <definedName name="_xlnm.Print_Titles" localSheetId="1">'Rebuild D&amp;C, B apts'!$A:$B,'Rebuild D&amp;C, B apts'!$1:$7</definedName>
    <definedName name="quarterly" localSheetId="2">#REF!</definedName>
    <definedName name="quarterly">#REF!</definedName>
    <definedName name="returnsinpt" localSheetId="2">[5]INPT.XLS!#REF!</definedName>
    <definedName name="returnsinpt" localSheetId="1">[5]INPT.XLS!#REF!</definedName>
    <definedName name="returnsinpt">[5]INPT.XLS!#REF!</definedName>
    <definedName name="ROI" localSheetId="0">'Full rebuild'!$A$1:$AB$85</definedName>
    <definedName name="ROI" localSheetId="2">'Rebuild D only'!$A$1:$AB$81</definedName>
    <definedName name="ROI" localSheetId="1">'Rebuild D&amp;C, B apts'!$A$1:$AB$84</definedName>
    <definedName name="ROI">#REF!</definedName>
    <definedName name="sevreclass" localSheetId="2">#REF!</definedName>
    <definedName name="sevreclass">#REF!</definedName>
    <definedName name="sgaexpense" localSheetId="2">#REF!</definedName>
    <definedName name="sgaexpense">#REF!</definedName>
    <definedName name="Special_Product_Reporting" localSheetId="2">#REF!</definedName>
    <definedName name="Special_Product_Reporting">#REF!</definedName>
    <definedName name="SPR">[7]Special_Product_Reporting!$A$1:$V$235</definedName>
    <definedName name="sss">[8]NWSPRT.XLS!$A$201:$N$253</definedName>
    <definedName name="sssss">[8]PAID.XLS!$A$181</definedName>
    <definedName name="sssssssssss">[8]INPT.XLS!$A$466</definedName>
    <definedName name="ssssssssssss">[8]PAID.XLS!A1:D1</definedName>
    <definedName name="sssssssssssssssss">[8]PAID.XLS!$A$358:$J$384</definedName>
    <definedName name="sssssssssssssssssssss" localSheetId="2">[8]INPT.XLS!#REF!</definedName>
    <definedName name="sssssssssssssssssssss" localSheetId="1">[8]INPT.XLS!#REF!</definedName>
    <definedName name="sssssssssssssssssssss">[8]INPT.XLS!#REF!</definedName>
    <definedName name="sssssssssssssssssssssss">[8]PAID.XLS!$A$147:$M$175</definedName>
    <definedName name="SVA" localSheetId="2">#REF!</definedName>
    <definedName name="SVA">#REF!</definedName>
    <definedName name="TAXES__37.7___" localSheetId="0">'Full rebuild'!$B$128</definedName>
    <definedName name="TAXES__37.7___" localSheetId="2">'Rebuild D only'!$B$124</definedName>
    <definedName name="TAXES__37.7___" localSheetId="1">'Rebuild D&amp;C, B apts'!$B$127</definedName>
    <definedName name="TAXES__37.7___">#REF!</definedName>
    <definedName name="themornbing">'[4]blackink inv 99'!$A$1:$K$37</definedName>
    <definedName name="tmcross" localSheetId="2">#REF!</definedName>
    <definedName name="tmcross">#REF!</definedName>
    <definedName name="totalblackinkexp" localSheetId="2">#REF!</definedName>
    <definedName name="totalblackinkexp">#REF!</definedName>
    <definedName name="totalnewsprintexpense" localSheetId="2">#REF!</definedName>
    <definedName name="totalnewsprintexpense">#REF!</definedName>
    <definedName name="vacadjust" localSheetId="2">#REF!</definedName>
    <definedName name="vacadjust">#REF!</definedName>
    <definedName name="vacation" localSheetId="2">#REF!</definedName>
    <definedName name="vacation">#REF!</definedName>
    <definedName name="Yes">"Drop Down 2"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3" l="1"/>
  <c r="B117" i="3"/>
  <c r="M116" i="3"/>
  <c r="L116" i="3"/>
  <c r="N109" i="3"/>
  <c r="N61" i="3" s="1"/>
  <c r="N63" i="3" s="1"/>
  <c r="AB108" i="3"/>
  <c r="AB107" i="3"/>
  <c r="AB106" i="3"/>
  <c r="AB105" i="3"/>
  <c r="AB104" i="3"/>
  <c r="AB103" i="3"/>
  <c r="R103" i="3"/>
  <c r="AB102" i="3"/>
  <c r="R102" i="3"/>
  <c r="Q102" i="3"/>
  <c r="R101" i="3"/>
  <c r="Q101" i="3"/>
  <c r="P101" i="3"/>
  <c r="R100" i="3"/>
  <c r="Q100" i="3"/>
  <c r="P100" i="3"/>
  <c r="O100" i="3"/>
  <c r="R99" i="3"/>
  <c r="Q99" i="3"/>
  <c r="P99" i="3"/>
  <c r="O99" i="3"/>
  <c r="N99" i="3"/>
  <c r="R98" i="3"/>
  <c r="Q98" i="3"/>
  <c r="Q109" i="3" s="1"/>
  <c r="Q61" i="3" s="1"/>
  <c r="Q63" i="3" s="1"/>
  <c r="P98" i="3"/>
  <c r="O98" i="3"/>
  <c r="N98" i="3"/>
  <c r="M98" i="3"/>
  <c r="AB98" i="3" s="1"/>
  <c r="R97" i="3"/>
  <c r="Q97" i="3"/>
  <c r="P97" i="3"/>
  <c r="O97" i="3"/>
  <c r="AB97" i="3" s="1"/>
  <c r="N97" i="3"/>
  <c r="M97" i="3"/>
  <c r="R96" i="3"/>
  <c r="R109" i="3" s="1"/>
  <c r="R61" i="3" s="1"/>
  <c r="R63" i="3" s="1"/>
  <c r="Q96" i="3"/>
  <c r="P96" i="3"/>
  <c r="O96" i="3"/>
  <c r="O109" i="3" s="1"/>
  <c r="O61" i="3" s="1"/>
  <c r="O63" i="3" s="1"/>
  <c r="N96" i="3"/>
  <c r="M96" i="3"/>
  <c r="L96" i="3"/>
  <c r="Q95" i="3"/>
  <c r="N95" i="3"/>
  <c r="M95" i="3"/>
  <c r="L95" i="3"/>
  <c r="AB95" i="3" s="1"/>
  <c r="AB94" i="3"/>
  <c r="M94" i="3"/>
  <c r="L94" i="3"/>
  <c r="AB93" i="3"/>
  <c r="L93" i="3"/>
  <c r="AB92" i="3"/>
  <c r="C91" i="3"/>
  <c r="AB90" i="3"/>
  <c r="AB89" i="3"/>
  <c r="AB88" i="3"/>
  <c r="AB67" i="3"/>
  <c r="AB54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B49" i="3" s="1"/>
  <c r="C49" i="3"/>
  <c r="AB46" i="3"/>
  <c r="AB45" i="3"/>
  <c r="AB44" i="3"/>
  <c r="C39" i="3"/>
  <c r="AB37" i="3"/>
  <c r="J35" i="3"/>
  <c r="AB34" i="3"/>
  <c r="AB33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G39" i="3" s="1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I39" i="3" s="1"/>
  <c r="H30" i="3"/>
  <c r="H39" i="3" s="1"/>
  <c r="G30" i="3"/>
  <c r="F30" i="3"/>
  <c r="F39" i="3" s="1"/>
  <c r="E30" i="3"/>
  <c r="E39" i="3" s="1"/>
  <c r="D30" i="3"/>
  <c r="D39" i="3" s="1"/>
  <c r="G24" i="3"/>
  <c r="G41" i="3" s="1"/>
  <c r="C24" i="3"/>
  <c r="AB23" i="3"/>
  <c r="AB22" i="3"/>
  <c r="J19" i="3"/>
  <c r="AB19" i="3" s="1"/>
  <c r="K15" i="3"/>
  <c r="I15" i="3"/>
  <c r="J15" i="3" s="1"/>
  <c r="H15" i="3"/>
  <c r="F11" i="3"/>
  <c r="G11" i="3" s="1"/>
  <c r="H11" i="3" s="1"/>
  <c r="E11" i="3"/>
  <c r="D11" i="3"/>
  <c r="D24" i="3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B115" i="2"/>
  <c r="B114" i="2"/>
  <c r="M113" i="2"/>
  <c r="L113" i="2"/>
  <c r="C106" i="2"/>
  <c r="C58" i="2" s="1"/>
  <c r="AB105" i="2"/>
  <c r="AB104" i="2"/>
  <c r="AB103" i="2"/>
  <c r="AB102" i="2"/>
  <c r="AB101" i="2"/>
  <c r="AB100" i="2"/>
  <c r="R100" i="2"/>
  <c r="AB99" i="2"/>
  <c r="R99" i="2"/>
  <c r="Q99" i="2"/>
  <c r="R98" i="2"/>
  <c r="Q98" i="2"/>
  <c r="P98" i="2"/>
  <c r="R97" i="2"/>
  <c r="Q97" i="2"/>
  <c r="P97" i="2"/>
  <c r="O97" i="2"/>
  <c r="R96" i="2"/>
  <c r="Q96" i="2"/>
  <c r="P96" i="2"/>
  <c r="O96" i="2"/>
  <c r="N96" i="2"/>
  <c r="R95" i="2"/>
  <c r="R106" i="2" s="1"/>
  <c r="R58" i="2" s="1"/>
  <c r="R60" i="2" s="1"/>
  <c r="Q95" i="2"/>
  <c r="P95" i="2"/>
  <c r="O95" i="2"/>
  <c r="N95" i="2"/>
  <c r="N106" i="2" s="1"/>
  <c r="N58" i="2" s="1"/>
  <c r="N60" i="2" s="1"/>
  <c r="M95" i="2"/>
  <c r="AB95" i="2" s="1"/>
  <c r="R94" i="2"/>
  <c r="Q94" i="2"/>
  <c r="P94" i="2"/>
  <c r="O94" i="2"/>
  <c r="N94" i="2"/>
  <c r="M94" i="2"/>
  <c r="R93" i="2"/>
  <c r="Q93" i="2"/>
  <c r="P93" i="2"/>
  <c r="O93" i="2"/>
  <c r="O106" i="2" s="1"/>
  <c r="O58" i="2" s="1"/>
  <c r="O60" i="2" s="1"/>
  <c r="N93" i="2"/>
  <c r="M93" i="2"/>
  <c r="L93" i="2"/>
  <c r="Q92" i="2"/>
  <c r="N92" i="2"/>
  <c r="M92" i="2"/>
  <c r="L92" i="2"/>
  <c r="AB92" i="2" s="1"/>
  <c r="M91" i="2"/>
  <c r="L91" i="2"/>
  <c r="AB91" i="2" s="1"/>
  <c r="AB90" i="2"/>
  <c r="L90" i="2"/>
  <c r="AB89" i="2"/>
  <c r="C88" i="2"/>
  <c r="AB88" i="2" s="1"/>
  <c r="AB87" i="2"/>
  <c r="AB86" i="2"/>
  <c r="AB85" i="2"/>
  <c r="AB64" i="2"/>
  <c r="AB51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B46" i="2" s="1"/>
  <c r="C46" i="2"/>
  <c r="AB41" i="2"/>
  <c r="C36" i="2"/>
  <c r="D34" i="2"/>
  <c r="H32" i="2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1" i="2"/>
  <c r="H30" i="2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F30" i="2"/>
  <c r="G30" i="2" s="1"/>
  <c r="E30" i="2"/>
  <c r="D30" i="2"/>
  <c r="E29" i="2"/>
  <c r="D29" i="2"/>
  <c r="F24" i="2"/>
  <c r="C24" i="2"/>
  <c r="H22" i="2"/>
  <c r="AB21" i="2"/>
  <c r="I19" i="2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H19" i="2"/>
  <c r="F19" i="2"/>
  <c r="G19" i="2" s="1"/>
  <c r="E19" i="2"/>
  <c r="D19" i="2"/>
  <c r="G13" i="2"/>
  <c r="F13" i="2"/>
  <c r="E13" i="2"/>
  <c r="D13" i="2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E7" i="2"/>
  <c r="D7" i="2"/>
  <c r="B119" i="1"/>
  <c r="B118" i="1"/>
  <c r="M117" i="1"/>
  <c r="L117" i="1"/>
  <c r="N110" i="1"/>
  <c r="AB109" i="1"/>
  <c r="AB108" i="1"/>
  <c r="AB107" i="1"/>
  <c r="AB106" i="1"/>
  <c r="AB105" i="1"/>
  <c r="AB104" i="1"/>
  <c r="R104" i="1"/>
  <c r="AB103" i="1"/>
  <c r="R103" i="1"/>
  <c r="Q103" i="1"/>
  <c r="R102" i="1"/>
  <c r="Q102" i="1"/>
  <c r="P102" i="1"/>
  <c r="R101" i="1"/>
  <c r="Q101" i="1"/>
  <c r="P101" i="1"/>
  <c r="O101" i="1"/>
  <c r="R100" i="1"/>
  <c r="Q100" i="1"/>
  <c r="P100" i="1"/>
  <c r="O100" i="1"/>
  <c r="N100" i="1"/>
  <c r="R99" i="1"/>
  <c r="Q99" i="1"/>
  <c r="Q110" i="1" s="1"/>
  <c r="Q62" i="1" s="1"/>
  <c r="Q64" i="1" s="1"/>
  <c r="P99" i="1"/>
  <c r="O99" i="1"/>
  <c r="N99" i="1"/>
  <c r="M99" i="1"/>
  <c r="R98" i="1"/>
  <c r="Q98" i="1"/>
  <c r="P98" i="1"/>
  <c r="O98" i="1"/>
  <c r="N98" i="1"/>
  <c r="M98" i="1"/>
  <c r="R97" i="1"/>
  <c r="R110" i="1" s="1"/>
  <c r="Q97" i="1"/>
  <c r="P97" i="1"/>
  <c r="O97" i="1"/>
  <c r="O110" i="1" s="1"/>
  <c r="O62" i="1" s="1"/>
  <c r="O64" i="1" s="1"/>
  <c r="N97" i="1"/>
  <c r="M97" i="1"/>
  <c r="L97" i="1"/>
  <c r="Q96" i="1"/>
  <c r="N96" i="1"/>
  <c r="M96" i="1"/>
  <c r="L96" i="1"/>
  <c r="AB96" i="1" s="1"/>
  <c r="AB95" i="1"/>
  <c r="M95" i="1"/>
  <c r="L95" i="1"/>
  <c r="AB94" i="1"/>
  <c r="L94" i="1"/>
  <c r="AB93" i="1"/>
  <c r="C92" i="1"/>
  <c r="AB91" i="1"/>
  <c r="AB90" i="1"/>
  <c r="AB89" i="1"/>
  <c r="AB68" i="1"/>
  <c r="R62" i="1"/>
  <c r="R64" i="1" s="1"/>
  <c r="N62" i="1"/>
  <c r="N64" i="1" s="1"/>
  <c r="AB55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50" i="1" s="1"/>
  <c r="C50" i="1"/>
  <c r="AB47" i="1"/>
  <c r="AB46" i="1"/>
  <c r="AB45" i="1"/>
  <c r="D40" i="1"/>
  <c r="C40" i="1"/>
  <c r="E38" i="1"/>
  <c r="F38" i="1" s="1"/>
  <c r="G38" i="1" s="1"/>
  <c r="H38" i="1" s="1"/>
  <c r="I38" i="1" s="1"/>
  <c r="J38" i="1" s="1"/>
  <c r="K38" i="1" s="1"/>
  <c r="D38" i="1"/>
  <c r="N36" i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L36" i="1"/>
  <c r="M36" i="1" s="1"/>
  <c r="AB35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3" i="1" s="1"/>
  <c r="F32" i="1"/>
  <c r="E32" i="1"/>
  <c r="D32" i="1"/>
  <c r="F27" i="1"/>
  <c r="C27" i="1"/>
  <c r="C42" i="1" s="1"/>
  <c r="AB26" i="1"/>
  <c r="AB25" i="1"/>
  <c r="N22" i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K22" i="1"/>
  <c r="L22" i="1" s="1"/>
  <c r="M22" i="1" s="1"/>
  <c r="J22" i="1"/>
  <c r="I18" i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H18" i="1"/>
  <c r="G11" i="1"/>
  <c r="F11" i="1"/>
  <c r="E11" i="1"/>
  <c r="E27" i="1" s="1"/>
  <c r="D11" i="1"/>
  <c r="D27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F7" i="1"/>
  <c r="G7" i="1" s="1"/>
  <c r="H7" i="1" s="1"/>
  <c r="I7" i="1" s="1"/>
  <c r="J7" i="1" s="1"/>
  <c r="D7" i="1"/>
  <c r="E7" i="1" s="1"/>
  <c r="E24" i="3" l="1"/>
  <c r="E41" i="3" s="1"/>
  <c r="AB15" i="3"/>
  <c r="L15" i="3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L39" i="3"/>
  <c r="AB30" i="3"/>
  <c r="K39" i="3"/>
  <c r="C41" i="3"/>
  <c r="H24" i="3"/>
  <c r="H41" i="3" s="1"/>
  <c r="I11" i="3"/>
  <c r="AB31" i="3"/>
  <c r="K35" i="3"/>
  <c r="L35" i="3" s="1"/>
  <c r="M35" i="3" s="1"/>
  <c r="AB96" i="3"/>
  <c r="M109" i="3"/>
  <c r="M61" i="3" s="1"/>
  <c r="M63" i="3" s="1"/>
  <c r="C109" i="3"/>
  <c r="C61" i="3" s="1"/>
  <c r="AB91" i="3"/>
  <c r="P109" i="3"/>
  <c r="P61" i="3" s="1"/>
  <c r="P63" i="3" s="1"/>
  <c r="J39" i="3"/>
  <c r="AB109" i="3"/>
  <c r="N116" i="3"/>
  <c r="D41" i="3"/>
  <c r="F24" i="3"/>
  <c r="F41" i="3" s="1"/>
  <c r="L109" i="3"/>
  <c r="L61" i="3" s="1"/>
  <c r="L63" i="3" s="1"/>
  <c r="AB19" i="2"/>
  <c r="N113" i="2"/>
  <c r="G24" i="2"/>
  <c r="H13" i="2"/>
  <c r="AB32" i="2"/>
  <c r="C60" i="2"/>
  <c r="D24" i="2"/>
  <c r="AB30" i="2"/>
  <c r="E34" i="2"/>
  <c r="F34" i="2" s="1"/>
  <c r="G34" i="2" s="1"/>
  <c r="H34" i="2" s="1"/>
  <c r="I34" i="2" s="1"/>
  <c r="J34" i="2" s="1"/>
  <c r="K34" i="2" s="1"/>
  <c r="AB93" i="2"/>
  <c r="M106" i="2"/>
  <c r="M58" i="2" s="1"/>
  <c r="M60" i="2" s="1"/>
  <c r="E24" i="2"/>
  <c r="I22" i="2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/>
  <c r="F29" i="2"/>
  <c r="Q106" i="2"/>
  <c r="Q58" i="2" s="1"/>
  <c r="Q60" i="2" s="1"/>
  <c r="C38" i="2"/>
  <c r="P106" i="2"/>
  <c r="P58" i="2" s="1"/>
  <c r="P60" i="2" s="1"/>
  <c r="AB94" i="2"/>
  <c r="D36" i="2"/>
  <c r="AB106" i="2"/>
  <c r="L106" i="2"/>
  <c r="L58" i="2" s="1"/>
  <c r="L60" i="2" s="1"/>
  <c r="D42" i="1"/>
  <c r="AB97" i="1"/>
  <c r="C70" i="1"/>
  <c r="C52" i="1"/>
  <c r="D52" i="1" s="1"/>
  <c r="E52" i="1" s="1"/>
  <c r="F40" i="1"/>
  <c r="F42" i="1" s="1"/>
  <c r="G32" i="1"/>
  <c r="AB22" i="1"/>
  <c r="G27" i="1"/>
  <c r="H11" i="1"/>
  <c r="AB38" i="1"/>
  <c r="AB98" i="1"/>
  <c r="AB99" i="1"/>
  <c r="M110" i="1"/>
  <c r="M62" i="1" s="1"/>
  <c r="M64" i="1" s="1"/>
  <c r="AB18" i="1"/>
  <c r="E40" i="1"/>
  <c r="E42" i="1" s="1"/>
  <c r="C110" i="1"/>
  <c r="C62" i="1" s="1"/>
  <c r="AB92" i="1"/>
  <c r="P110" i="1"/>
  <c r="P62" i="1" s="1"/>
  <c r="P64" i="1" s="1"/>
  <c r="AB110" i="1"/>
  <c r="N117" i="1"/>
  <c r="AB36" i="1"/>
  <c r="L110" i="1"/>
  <c r="L62" i="1" s="1"/>
  <c r="L64" i="1" s="1"/>
  <c r="O116" i="3" l="1"/>
  <c r="I24" i="3"/>
  <c r="J11" i="3"/>
  <c r="AB61" i="3"/>
  <c r="C63" i="3"/>
  <c r="AB63" i="3" s="1"/>
  <c r="N35" i="3"/>
  <c r="M39" i="3"/>
  <c r="C69" i="3"/>
  <c r="C51" i="3"/>
  <c r="D51" i="3" s="1"/>
  <c r="E51" i="3" s="1"/>
  <c r="F51" i="3" s="1"/>
  <c r="G51" i="3" s="1"/>
  <c r="H51" i="3" s="1"/>
  <c r="G29" i="2"/>
  <c r="F36" i="2"/>
  <c r="F38" i="2" s="1"/>
  <c r="AB58" i="2"/>
  <c r="O113" i="2"/>
  <c r="D38" i="2"/>
  <c r="H24" i="2"/>
  <c r="I13" i="2"/>
  <c r="C66" i="2"/>
  <c r="C62" i="2"/>
  <c r="C48" i="2"/>
  <c r="E36" i="2"/>
  <c r="AB34" i="2"/>
  <c r="AB60" i="2"/>
  <c r="O117" i="1"/>
  <c r="I11" i="1"/>
  <c r="H27" i="1"/>
  <c r="H32" i="1"/>
  <c r="G40" i="1"/>
  <c r="B78" i="1"/>
  <c r="C118" i="1"/>
  <c r="C119" i="1" s="1"/>
  <c r="C120" i="1" s="1"/>
  <c r="AB62" i="1"/>
  <c r="C64" i="1"/>
  <c r="F52" i="1"/>
  <c r="I41" i="3" l="1"/>
  <c r="B77" i="3"/>
  <c r="C117" i="3"/>
  <c r="C118" i="3" s="1"/>
  <c r="C119" i="3" s="1"/>
  <c r="C65" i="3"/>
  <c r="O35" i="3"/>
  <c r="N39" i="3"/>
  <c r="K11" i="3"/>
  <c r="J24" i="3"/>
  <c r="J41" i="3" s="1"/>
  <c r="B74" i="2"/>
  <c r="C114" i="2"/>
  <c r="C115" i="2" s="1"/>
  <c r="C116" i="2" s="1"/>
  <c r="J13" i="2"/>
  <c r="I24" i="2"/>
  <c r="D48" i="2"/>
  <c r="G36" i="2"/>
  <c r="G38" i="2" s="1"/>
  <c r="H29" i="2"/>
  <c r="E38" i="2"/>
  <c r="AB64" i="1"/>
  <c r="C66" i="1"/>
  <c r="I27" i="1"/>
  <c r="J11" i="1"/>
  <c r="H40" i="1"/>
  <c r="I32" i="1"/>
  <c r="G42" i="1"/>
  <c r="H42" i="1"/>
  <c r="P35" i="3" l="1"/>
  <c r="O39" i="3"/>
  <c r="K24" i="3"/>
  <c r="K41" i="3" s="1"/>
  <c r="L11" i="3"/>
  <c r="I51" i="3"/>
  <c r="J51" i="3" s="1"/>
  <c r="E48" i="2"/>
  <c r="F48" i="2" s="1"/>
  <c r="G48" i="2" s="1"/>
  <c r="H36" i="2"/>
  <c r="I29" i="2"/>
  <c r="J24" i="2"/>
  <c r="K13" i="2"/>
  <c r="J32" i="1"/>
  <c r="I40" i="1"/>
  <c r="J27" i="1"/>
  <c r="K11" i="1"/>
  <c r="I42" i="1"/>
  <c r="G52" i="1"/>
  <c r="H52" i="1" s="1"/>
  <c r="I52" i="1" s="1"/>
  <c r="K51" i="3" l="1"/>
  <c r="Q35" i="3"/>
  <c r="P39" i="3"/>
  <c r="L24" i="3"/>
  <c r="M11" i="3"/>
  <c r="H38" i="2"/>
  <c r="H48" i="2"/>
  <c r="I48" i="2" s="1"/>
  <c r="K24" i="2"/>
  <c r="L13" i="2"/>
  <c r="J29" i="2"/>
  <c r="I36" i="2"/>
  <c r="I38" i="2" s="1"/>
  <c r="K27" i="1"/>
  <c r="L11" i="1"/>
  <c r="J40" i="1"/>
  <c r="J42" i="1" s="1"/>
  <c r="J52" i="1" s="1"/>
  <c r="K32" i="1"/>
  <c r="L41" i="3" l="1"/>
  <c r="L51" i="3"/>
  <c r="M51" i="3" s="1"/>
  <c r="N11" i="3"/>
  <c r="M24" i="3"/>
  <c r="M41" i="3" s="1"/>
  <c r="R35" i="3"/>
  <c r="Q39" i="3"/>
  <c r="M13" i="2"/>
  <c r="L24" i="2"/>
  <c r="K29" i="2"/>
  <c r="J36" i="2"/>
  <c r="M11" i="1"/>
  <c r="L27" i="1"/>
  <c r="L32" i="1"/>
  <c r="K40" i="1"/>
  <c r="K42" i="1" s="1"/>
  <c r="K52" i="1" s="1"/>
  <c r="S35" i="3" l="1"/>
  <c r="R39" i="3"/>
  <c r="M65" i="3"/>
  <c r="M69" i="3"/>
  <c r="M117" i="3" s="1"/>
  <c r="L65" i="3"/>
  <c r="L69" i="3"/>
  <c r="O11" i="3"/>
  <c r="N24" i="3"/>
  <c r="N41" i="3" s="1"/>
  <c r="M24" i="2"/>
  <c r="N13" i="2"/>
  <c r="J38" i="2"/>
  <c r="J48" i="2" s="1"/>
  <c r="K48" i="2" s="1"/>
  <c r="L29" i="2"/>
  <c r="K36" i="2"/>
  <c r="K38" i="2" s="1"/>
  <c r="L40" i="1"/>
  <c r="M32" i="1"/>
  <c r="L42" i="1"/>
  <c r="M27" i="1"/>
  <c r="N11" i="1"/>
  <c r="N69" i="3" l="1"/>
  <c r="N117" i="3" s="1"/>
  <c r="N65" i="3"/>
  <c r="O24" i="3"/>
  <c r="O41" i="3" s="1"/>
  <c r="P11" i="3"/>
  <c r="T35" i="3"/>
  <c r="S39" i="3"/>
  <c r="L117" i="3"/>
  <c r="L118" i="3" s="1"/>
  <c r="L71" i="3"/>
  <c r="M71" i="3" s="1"/>
  <c r="N71" i="3" s="1"/>
  <c r="B78" i="3"/>
  <c r="N51" i="3"/>
  <c r="O51" i="3" s="1"/>
  <c r="O13" i="2"/>
  <c r="N24" i="2"/>
  <c r="L48" i="2"/>
  <c r="L36" i="2"/>
  <c r="L38" i="2" s="1"/>
  <c r="M29" i="2"/>
  <c r="L66" i="1"/>
  <c r="L70" i="1"/>
  <c r="N27" i="1"/>
  <c r="O11" i="1"/>
  <c r="M40" i="1"/>
  <c r="N32" i="1"/>
  <c r="M42" i="1"/>
  <c r="L52" i="1"/>
  <c r="M52" i="1" s="1"/>
  <c r="O71" i="3" l="1"/>
  <c r="L119" i="3"/>
  <c r="P24" i="3"/>
  <c r="P41" i="3" s="1"/>
  <c r="Q11" i="3"/>
  <c r="O69" i="3"/>
  <c r="O117" i="3" s="1"/>
  <c r="O65" i="3"/>
  <c r="U35" i="3"/>
  <c r="T39" i="3"/>
  <c r="M118" i="3"/>
  <c r="N29" i="2"/>
  <c r="M36" i="2"/>
  <c r="M38" i="2" s="1"/>
  <c r="L66" i="2"/>
  <c r="L62" i="2"/>
  <c r="O24" i="2"/>
  <c r="P13" i="2"/>
  <c r="O27" i="1"/>
  <c r="P11" i="1"/>
  <c r="M66" i="1"/>
  <c r="M70" i="1"/>
  <c r="M118" i="1" s="1"/>
  <c r="N40" i="1"/>
  <c r="N42" i="1" s="1"/>
  <c r="O32" i="1"/>
  <c r="L72" i="1"/>
  <c r="M72" i="1" s="1"/>
  <c r="L118" i="1"/>
  <c r="L119" i="1" s="1"/>
  <c r="B79" i="1"/>
  <c r="Q24" i="3" l="1"/>
  <c r="Q41" i="3" s="1"/>
  <c r="R11" i="3"/>
  <c r="P65" i="3"/>
  <c r="P69" i="3"/>
  <c r="P71" i="3" s="1"/>
  <c r="P51" i="3"/>
  <c r="V35" i="3"/>
  <c r="U39" i="3"/>
  <c r="N118" i="3"/>
  <c r="M119" i="3"/>
  <c r="M62" i="2"/>
  <c r="M66" i="2"/>
  <c r="M114" i="2" s="1"/>
  <c r="M115" i="2" s="1"/>
  <c r="L68" i="2"/>
  <c r="L114" i="2"/>
  <c r="L115" i="2" s="1"/>
  <c r="B75" i="2"/>
  <c r="O29" i="2"/>
  <c r="N36" i="2"/>
  <c r="N38" i="2" s="1"/>
  <c r="P24" i="2"/>
  <c r="Q13" i="2"/>
  <c r="M48" i="2"/>
  <c r="N70" i="1"/>
  <c r="N66" i="1"/>
  <c r="N52" i="1"/>
  <c r="O52" i="1" s="1"/>
  <c r="P32" i="1"/>
  <c r="O40" i="1"/>
  <c r="Q11" i="1"/>
  <c r="P27" i="1"/>
  <c r="L120" i="1"/>
  <c r="O42" i="1"/>
  <c r="N72" i="1"/>
  <c r="M119" i="1"/>
  <c r="S11" i="3" l="1"/>
  <c r="R24" i="3"/>
  <c r="R41" i="3" s="1"/>
  <c r="Q65" i="3"/>
  <c r="Q69" i="3"/>
  <c r="O119" i="3"/>
  <c r="W35" i="3"/>
  <c r="V39" i="3"/>
  <c r="O118" i="3"/>
  <c r="N119" i="3"/>
  <c r="Q51" i="3"/>
  <c r="N116" i="2"/>
  <c r="N66" i="2"/>
  <c r="N114" i="2" s="1"/>
  <c r="N115" i="2" s="1"/>
  <c r="N62" i="2"/>
  <c r="N48" i="2"/>
  <c r="O48" i="2" s="1"/>
  <c r="P29" i="2"/>
  <c r="O36" i="2"/>
  <c r="O38" i="2" s="1"/>
  <c r="M116" i="2"/>
  <c r="L116" i="2"/>
  <c r="R13" i="2"/>
  <c r="Q24" i="2"/>
  <c r="M68" i="2"/>
  <c r="N68" i="2" s="1"/>
  <c r="P42" i="1"/>
  <c r="P52" i="1"/>
  <c r="O70" i="1"/>
  <c r="O118" i="1" s="1"/>
  <c r="O66" i="1"/>
  <c r="Q27" i="1"/>
  <c r="R11" i="1"/>
  <c r="N118" i="1"/>
  <c r="N119" i="1" s="1"/>
  <c r="M120" i="1"/>
  <c r="P40" i="1"/>
  <c r="Q32" i="1"/>
  <c r="X35" i="3" l="1"/>
  <c r="W39" i="3"/>
  <c r="R69" i="3"/>
  <c r="AB69" i="3" s="1"/>
  <c r="R65" i="3"/>
  <c r="AB65" i="3" s="1"/>
  <c r="T11" i="3"/>
  <c r="S24" i="3"/>
  <c r="S41" i="3" s="1"/>
  <c r="B79" i="3"/>
  <c r="Q71" i="3"/>
  <c r="R51" i="3"/>
  <c r="O68" i="2"/>
  <c r="P48" i="2"/>
  <c r="O66" i="2"/>
  <c r="O62" i="2"/>
  <c r="S13" i="2"/>
  <c r="R24" i="2"/>
  <c r="P36" i="2"/>
  <c r="P38" i="2" s="1"/>
  <c r="Q29" i="2"/>
  <c r="O119" i="1"/>
  <c r="O120" i="1" s="1"/>
  <c r="N120" i="1"/>
  <c r="R27" i="1"/>
  <c r="S11" i="1"/>
  <c r="Q40" i="1"/>
  <c r="Q42" i="1" s="1"/>
  <c r="R32" i="1"/>
  <c r="P70" i="1"/>
  <c r="P66" i="1"/>
  <c r="O72" i="1"/>
  <c r="S51" i="3" l="1"/>
  <c r="T24" i="3"/>
  <c r="T41" i="3" s="1"/>
  <c r="U11" i="3"/>
  <c r="Y35" i="3"/>
  <c r="X39" i="3"/>
  <c r="R71" i="3"/>
  <c r="S24" i="2"/>
  <c r="T13" i="2"/>
  <c r="R29" i="2"/>
  <c r="Q36" i="2"/>
  <c r="Q38" i="2" s="1"/>
  <c r="P68" i="2"/>
  <c r="P62" i="2"/>
  <c r="P66" i="2"/>
  <c r="O114" i="2"/>
  <c r="O115" i="2" s="1"/>
  <c r="O116" i="2" s="1"/>
  <c r="Q66" i="1"/>
  <c r="Q70" i="1"/>
  <c r="Q52" i="1"/>
  <c r="R52" i="1" s="1"/>
  <c r="R40" i="1"/>
  <c r="S32" i="1"/>
  <c r="R42" i="1"/>
  <c r="P72" i="1"/>
  <c r="Q72" i="1" s="1"/>
  <c r="S27" i="1"/>
  <c r="T11" i="1"/>
  <c r="T51" i="3" l="1"/>
  <c r="U51" i="3" s="1"/>
  <c r="Z35" i="3"/>
  <c r="Y39" i="3"/>
  <c r="U24" i="3"/>
  <c r="U41" i="3" s="1"/>
  <c r="V11" i="3"/>
  <c r="U13" i="2"/>
  <c r="T24" i="2"/>
  <c r="Q62" i="2"/>
  <c r="Q66" i="2"/>
  <c r="R36" i="2"/>
  <c r="R38" i="2" s="1"/>
  <c r="S29" i="2"/>
  <c r="Q48" i="2"/>
  <c r="R48" i="2" s="1"/>
  <c r="U11" i="1"/>
  <c r="T27" i="1"/>
  <c r="R70" i="1"/>
  <c r="R66" i="1"/>
  <c r="AB66" i="1" s="1"/>
  <c r="S42" i="1"/>
  <c r="S52" i="1" s="1"/>
  <c r="T32" i="1"/>
  <c r="S40" i="1"/>
  <c r="AA35" i="3" l="1"/>
  <c r="Z39" i="3"/>
  <c r="W11" i="3"/>
  <c r="V24" i="3"/>
  <c r="V41" i="3" s="1"/>
  <c r="V51" i="3"/>
  <c r="U24" i="2"/>
  <c r="V13" i="2"/>
  <c r="S48" i="2"/>
  <c r="Q68" i="2"/>
  <c r="R68" i="2" s="1"/>
  <c r="S36" i="2"/>
  <c r="S38" i="2" s="1"/>
  <c r="T29" i="2"/>
  <c r="R66" i="2"/>
  <c r="B76" i="2" s="1"/>
  <c r="R62" i="2"/>
  <c r="AB62" i="2" s="1"/>
  <c r="U32" i="1"/>
  <c r="T40" i="1"/>
  <c r="T42" i="1"/>
  <c r="T52" i="1" s="1"/>
  <c r="U27" i="1"/>
  <c r="V11" i="1"/>
  <c r="B80" i="1"/>
  <c r="AB70" i="1"/>
  <c r="R72" i="1"/>
  <c r="AA39" i="3" l="1"/>
  <c r="AB39" i="3" s="1"/>
  <c r="AB35" i="3"/>
  <c r="X11" i="3"/>
  <c r="W24" i="3"/>
  <c r="W41" i="3" s="1"/>
  <c r="W51" i="3" s="1"/>
  <c r="T36" i="2"/>
  <c r="T38" i="2" s="1"/>
  <c r="U29" i="2"/>
  <c r="T48" i="2"/>
  <c r="V24" i="2"/>
  <c r="W13" i="2"/>
  <c r="AB66" i="2"/>
  <c r="W11" i="1"/>
  <c r="V27" i="1"/>
  <c r="U40" i="1"/>
  <c r="U42" i="1" s="1"/>
  <c r="U52" i="1" s="1"/>
  <c r="V32" i="1"/>
  <c r="X24" i="3" l="1"/>
  <c r="X41" i="3" s="1"/>
  <c r="X51" i="3" s="1"/>
  <c r="Y11" i="3"/>
  <c r="V29" i="2"/>
  <c r="U36" i="2"/>
  <c r="U38" i="2" s="1"/>
  <c r="U48" i="2" s="1"/>
  <c r="W24" i="2"/>
  <c r="X13" i="2"/>
  <c r="V42" i="1"/>
  <c r="V52" i="1" s="1"/>
  <c r="W27" i="1"/>
  <c r="X11" i="1"/>
  <c r="V40" i="1"/>
  <c r="W32" i="1"/>
  <c r="Y24" i="3" l="1"/>
  <c r="Y41" i="3" s="1"/>
  <c r="Y51" i="3" s="1"/>
  <c r="Z11" i="3"/>
  <c r="W29" i="2"/>
  <c r="V36" i="2"/>
  <c r="V38" i="2" s="1"/>
  <c r="V48" i="2" s="1"/>
  <c r="Y13" i="2"/>
  <c r="X24" i="2"/>
  <c r="Y11" i="1"/>
  <c r="X27" i="1"/>
  <c r="W42" i="1"/>
  <c r="W52" i="1" s="1"/>
  <c r="X32" i="1"/>
  <c r="W40" i="1"/>
  <c r="AA11" i="3" l="1"/>
  <c r="Z24" i="3"/>
  <c r="Z41" i="3" s="1"/>
  <c r="Z51" i="3" s="1"/>
  <c r="W36" i="2"/>
  <c r="W38" i="2" s="1"/>
  <c r="W48" i="2" s="1"/>
  <c r="X29" i="2"/>
  <c r="Z13" i="2"/>
  <c r="Y24" i="2"/>
  <c r="X42" i="1"/>
  <c r="X52" i="1" s="1"/>
  <c r="Y27" i="1"/>
  <c r="Z11" i="1"/>
  <c r="X40" i="1"/>
  <c r="Y32" i="1"/>
  <c r="AA24" i="3" l="1"/>
  <c r="AB11" i="3"/>
  <c r="X36" i="2"/>
  <c r="X38" i="2" s="1"/>
  <c r="X48" i="2" s="1"/>
  <c r="Y29" i="2"/>
  <c r="Z24" i="2"/>
  <c r="AA13" i="2"/>
  <c r="Z27" i="1"/>
  <c r="AA11" i="1"/>
  <c r="Y42" i="1"/>
  <c r="Y52" i="1" s="1"/>
  <c r="Z32" i="1"/>
  <c r="Y40" i="1"/>
  <c r="AA41" i="3" l="1"/>
  <c r="AB24" i="3"/>
  <c r="Z29" i="2"/>
  <c r="Y36" i="2"/>
  <c r="Y38" i="2" s="1"/>
  <c r="Y48" i="2" s="1"/>
  <c r="AA24" i="2"/>
  <c r="AB13" i="2"/>
  <c r="AA27" i="1"/>
  <c r="AB11" i="1"/>
  <c r="Z42" i="1"/>
  <c r="Z52" i="1" s="1"/>
  <c r="Z40" i="1"/>
  <c r="AA32" i="1"/>
  <c r="AB41" i="3" l="1"/>
  <c r="AA51" i="3"/>
  <c r="Z36" i="2"/>
  <c r="Z38" i="2" s="1"/>
  <c r="Z48" i="2" s="1"/>
  <c r="AA29" i="2"/>
  <c r="AB24" i="2"/>
  <c r="AA40" i="1"/>
  <c r="AB40" i="1" s="1"/>
  <c r="AB32" i="1"/>
  <c r="AA42" i="1"/>
  <c r="AB42" i="1" s="1"/>
  <c r="AB27" i="1"/>
  <c r="AA36" i="2" l="1"/>
  <c r="AB29" i="2"/>
  <c r="AA52" i="1"/>
  <c r="AB36" i="2" l="1"/>
  <c r="AA38" i="2"/>
  <c r="AB38" i="2" l="1"/>
  <c r="AA48" i="2"/>
</calcChain>
</file>

<file path=xl/sharedStrings.xml><?xml version="1.0" encoding="utf-8"?>
<sst xmlns="http://schemas.openxmlformats.org/spreadsheetml/2006/main" count="228" uniqueCount="82">
  <si>
    <t>rdmolchany</t>
  </si>
  <si>
    <t>Cedarbrook</t>
  </si>
  <si>
    <t>7.28.15</t>
  </si>
  <si>
    <t>Cedarbrook Allentown Rebuild ( Full Facility Rebuild)</t>
  </si>
  <si>
    <t>Summary of Cash Flows</t>
  </si>
  <si>
    <t>Base Year:  2014</t>
  </si>
  <si>
    <t xml:space="preserve"> </t>
  </si>
  <si>
    <t>Incremental Revenue:</t>
  </si>
  <si>
    <t>Total:</t>
  </si>
  <si>
    <t xml:space="preserve">  From 670 beds down to 563 beds</t>
  </si>
  <si>
    <t xml:space="preserve">  (Medicaid available beds will decrease by 167 beds)</t>
  </si>
  <si>
    <t xml:space="preserve">  D-Wing &amp; C-Wing &amp; B-Wing; Year 2014 rate per resident per day = $276</t>
  </si>
  <si>
    <t xml:space="preserve">  Improve revenue by providing incremental short term</t>
  </si>
  <si>
    <t xml:space="preserve">  rehabilitation services covered by medicare</t>
  </si>
  <si>
    <t xml:space="preserve">  (Medicare rate = $476/day)</t>
  </si>
  <si>
    <r>
      <t xml:space="preserve">  (estimate</t>
    </r>
    <r>
      <rPr>
        <u/>
        <sz val="11"/>
        <rFont val="Arial"/>
        <family val="2"/>
      </rPr>
      <t xml:space="preserve"> thirty</t>
    </r>
    <r>
      <rPr>
        <sz val="11"/>
        <rFont val="Arial"/>
        <family val="2"/>
      </rPr>
      <t xml:space="preserve"> additional residents at the new rate)</t>
    </r>
  </si>
  <si>
    <t xml:space="preserve">  Rate improvement (market for private pay residents)</t>
  </si>
  <si>
    <t xml:space="preserve">  (Private pay rate = $320/day)</t>
  </si>
  <si>
    <r>
      <t xml:space="preserve">  (estimate </t>
    </r>
    <r>
      <rPr>
        <u/>
        <sz val="11"/>
        <rFont val="Arial"/>
        <family val="2"/>
      </rPr>
      <t>thirty</t>
    </r>
    <r>
      <rPr>
        <sz val="11"/>
        <rFont val="Arial"/>
        <family val="2"/>
      </rPr>
      <t xml:space="preserve"> additional residents at the new rate)</t>
    </r>
  </si>
  <si>
    <t xml:space="preserve">  Linear revenue: 2014</t>
  </si>
  <si>
    <t xml:space="preserve">  Linear revenue: future</t>
  </si>
  <si>
    <t xml:space="preserve"> Total Incremental Revenue:</t>
  </si>
  <si>
    <t>Incremental Cash Expenses (enter Savings as negative):</t>
  </si>
  <si>
    <t xml:space="preserve">  Undetermined efficiency benefits; however there will be </t>
  </si>
  <si>
    <t xml:space="preserve">  linear expense reductions IAW bed count change</t>
  </si>
  <si>
    <t xml:space="preserve">  Increased Physical Therapy for short term care</t>
  </si>
  <si>
    <t xml:space="preserve">  Increased Pharmacy for short term care</t>
  </si>
  <si>
    <t xml:space="preserve">  Linear expense: 2014</t>
  </si>
  <si>
    <t xml:space="preserve">  Linear expense: future</t>
  </si>
  <si>
    <t xml:space="preserve">  *Bond Cost</t>
  </si>
  <si>
    <t xml:space="preserve"> Total Incremental Cash Expenses:</t>
  </si>
  <si>
    <t>Net Incremental Operating Cash Flow</t>
  </si>
  <si>
    <t>Capital Investment (enter as a negative)</t>
  </si>
  <si>
    <t>D wing</t>
  </si>
  <si>
    <t>C wing</t>
  </si>
  <si>
    <t>B wing</t>
  </si>
  <si>
    <t xml:space="preserve"> Total Capital Investment</t>
  </si>
  <si>
    <t>Accumulated Cash Flow after capital investment</t>
  </si>
  <si>
    <t>Proceeds from sale</t>
  </si>
  <si>
    <t>Tax Depreciation</t>
  </si>
  <si>
    <t xml:space="preserve">     7 Year MACRS</t>
  </si>
  <si>
    <t xml:space="preserve">     (Gain) / Loss on disposal</t>
  </si>
  <si>
    <t xml:space="preserve"> Total Tax Depreciation</t>
  </si>
  <si>
    <t>Taxable Income</t>
  </si>
  <si>
    <t xml:space="preserve">Taxes (40%) </t>
  </si>
  <si>
    <t>Net Cash Flow</t>
  </si>
  <si>
    <t>5 year</t>
  </si>
  <si>
    <t>10 year</t>
  </si>
  <si>
    <t>15 year</t>
  </si>
  <si>
    <t>Tax Depreciation Rates:</t>
  </si>
  <si>
    <t>Year 1</t>
  </si>
  <si>
    <t>Year 10</t>
  </si>
  <si>
    <t>Year 11</t>
  </si>
  <si>
    <t>Year 12</t>
  </si>
  <si>
    <t>Year 13</t>
  </si>
  <si>
    <t>Year 14</t>
  </si>
  <si>
    <t>Year 15</t>
  </si>
  <si>
    <t>Year 16</t>
  </si>
  <si>
    <t>=</t>
  </si>
  <si>
    <t xml:space="preserve">  ======</t>
  </si>
  <si>
    <t xml:space="preserve">  =======</t>
  </si>
  <si>
    <t>7 Year MACRS</t>
  </si>
  <si>
    <t>Payback Period Calculation:</t>
  </si>
  <si>
    <t>Period</t>
  </si>
  <si>
    <t>Discounted Cash Flow</t>
  </si>
  <si>
    <t>Remaining Balance</t>
  </si>
  <si>
    <t>Payback Point</t>
  </si>
  <si>
    <t>|::</t>
  </si>
  <si>
    <t>TAXES</t>
  </si>
  <si>
    <t>Cedarbrook Allentown Rebuild (D-Wing Enhancement)</t>
  </si>
  <si>
    <t xml:space="preserve">  From 670 beds down to 624 beds</t>
  </si>
  <si>
    <t xml:space="preserve">  (Medicaid available beds will decrease by 66 beds)</t>
  </si>
  <si>
    <t xml:space="preserve">  D-Wing; Year 2014 rate per resident per day = $276</t>
  </si>
  <si>
    <t>Cedarbrook Allentown Rebuild (Wings D &amp; C rebuilt, Wing B converted to apartments)</t>
  </si>
  <si>
    <t xml:space="preserve">  From 670 beds down to 493 beds</t>
  </si>
  <si>
    <t xml:space="preserve">  (Medicaid available beds will decrease by 217 beds)</t>
  </si>
  <si>
    <t xml:space="preserve">  D-Wing &amp; C-Wing; Year 2014 rate per resident per day = $276</t>
  </si>
  <si>
    <r>
      <t xml:space="preserve">  (estimate</t>
    </r>
    <r>
      <rPr>
        <u/>
        <sz val="11"/>
        <rFont val="Arial"/>
        <family val="2"/>
      </rPr>
      <t xml:space="preserve"> thirty </t>
    </r>
    <r>
      <rPr>
        <sz val="11"/>
        <rFont val="Arial"/>
        <family val="2"/>
      </rPr>
      <t>additional residents at the new rate)</t>
    </r>
  </si>
  <si>
    <r>
      <t xml:space="preserve">  (estimate </t>
    </r>
    <r>
      <rPr>
        <u/>
        <sz val="11"/>
        <rFont val="Arial"/>
        <family val="2"/>
      </rPr>
      <t>ten</t>
    </r>
    <r>
      <rPr>
        <sz val="11"/>
        <rFont val="Arial"/>
        <family val="2"/>
      </rPr>
      <t xml:space="preserve"> additional residents at the new rate)</t>
    </r>
  </si>
  <si>
    <t xml:space="preserve">  B-Wing apartment revenue (= to Brookview in 2014)</t>
  </si>
  <si>
    <t xml:space="preserve">  B-Wing apartment expense (= to Brookview in 2014)</t>
  </si>
  <si>
    <t xml:space="preserve">  Bond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</si>
</sst>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m\ d\,\ yyyy"/>
    <numFmt numFmtId="166" formatCode="0_)"/>
    <numFmt numFmtId="167" formatCode="&quot;$&quot;#,##0"/>
    <numFmt numFmtId="168" formatCode="_(* #,##0_);_(* \(#,##0\);_(* &quot;-&quot;??_);_(@_)"/>
    <numFmt numFmtId="169" formatCode="_(* #,##0.000_);_(* \(#,##0.000\);_(* &quot;-&quot;??_);_(@_)"/>
    <numFmt numFmtId="170" formatCode="0.0%"/>
    <numFmt numFmtId="171" formatCode="#,##0.0_);\(#,##0.0\)"/>
    <numFmt numFmtId="172" formatCode="#,##0.0000_);\(#,##0.0000\)"/>
    <numFmt numFmtId="173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1"/>
      <name val="Arial"/>
      <family val="2"/>
    </font>
    <font>
      <b/>
      <sz val="16"/>
      <name val="Arial MT"/>
    </font>
    <font>
      <b/>
      <sz val="12"/>
      <name val="Arial MT"/>
    </font>
    <font>
      <sz val="10"/>
      <name val="Arial MT"/>
    </font>
    <font>
      <b/>
      <sz val="11"/>
      <name val="Arial"/>
      <family val="2"/>
    </font>
    <font>
      <u/>
      <sz val="12"/>
      <name val="Arial MT"/>
    </font>
    <font>
      <sz val="11"/>
      <color theme="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i/>
      <u/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37" fontId="3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37" fontId="4" fillId="0" borderId="0" xfId="2" applyFont="1"/>
    <xf numFmtId="37" fontId="3" fillId="0" borderId="0" xfId="2" applyFont="1"/>
    <xf numFmtId="37" fontId="5" fillId="0" borderId="0" xfId="2" applyFont="1"/>
    <xf numFmtId="37" fontId="6" fillId="0" borderId="0" xfId="2" applyFont="1"/>
    <xf numFmtId="164" fontId="7" fillId="0" borderId="0" xfId="2" applyNumberFormat="1" applyFont="1" applyProtection="1"/>
    <xf numFmtId="165" fontId="4" fillId="2" borderId="0" xfId="2" quotePrefix="1" applyNumberFormat="1" applyFont="1" applyFill="1" applyAlignment="1">
      <alignment horizontal="left"/>
    </xf>
    <xf numFmtId="37" fontId="7" fillId="0" borderId="0" xfId="2" applyFont="1" applyAlignment="1">
      <alignment horizontal="right"/>
    </xf>
    <xf numFmtId="37" fontId="5" fillId="0" borderId="0" xfId="2" applyFont="1" applyAlignment="1">
      <alignment horizontal="left"/>
    </xf>
    <xf numFmtId="37" fontId="4" fillId="2" borderId="0" xfId="2" applyFont="1" applyFill="1"/>
    <xf numFmtId="164" fontId="4" fillId="0" borderId="0" xfId="2" applyNumberFormat="1" applyFont="1" applyProtection="1"/>
    <xf numFmtId="37" fontId="8" fillId="0" borderId="0" xfId="2" applyFont="1" applyAlignment="1">
      <alignment horizontal="left"/>
    </xf>
    <xf numFmtId="166" fontId="9" fillId="0" borderId="0" xfId="2" applyNumberFormat="1" applyFont="1" applyProtection="1"/>
    <xf numFmtId="37" fontId="3" fillId="0" borderId="0" xfId="2" applyFont="1" applyAlignment="1">
      <alignment horizontal="right"/>
    </xf>
    <xf numFmtId="0" fontId="10" fillId="0" borderId="0" xfId="0" applyFont="1"/>
    <xf numFmtId="37" fontId="3" fillId="0" borderId="0" xfId="2" applyFont="1" applyProtection="1">
      <protection locked="0"/>
    </xf>
    <xf numFmtId="167" fontId="3" fillId="0" borderId="0" xfId="2" applyNumberFormat="1" applyFont="1"/>
    <xf numFmtId="168" fontId="3" fillId="0" borderId="0" xfId="3" applyNumberFormat="1" applyFont="1" applyProtection="1">
      <protection locked="0"/>
    </xf>
    <xf numFmtId="49" fontId="4" fillId="0" borderId="0" xfId="2" quotePrefix="1" applyNumberFormat="1" applyFont="1" applyFill="1" applyAlignment="1">
      <alignment horizontal="left"/>
    </xf>
    <xf numFmtId="49" fontId="4" fillId="0" borderId="0" xfId="2" applyNumberFormat="1" applyFont="1" applyFill="1" applyAlignment="1">
      <alignment horizontal="left"/>
    </xf>
    <xf numFmtId="37" fontId="3" fillId="0" borderId="0" xfId="2" applyNumberFormat="1" applyFont="1" applyProtection="1"/>
    <xf numFmtId="167" fontId="3" fillId="0" borderId="1" xfId="2" applyNumberFormat="1" applyFont="1" applyBorder="1"/>
    <xf numFmtId="37" fontId="8" fillId="0" borderId="0" xfId="2" applyFont="1" applyFill="1" applyAlignment="1">
      <alignment horizontal="left"/>
    </xf>
    <xf numFmtId="168" fontId="6" fillId="3" borderId="2" xfId="3" applyNumberFormat="1" applyFont="1" applyFill="1" applyBorder="1"/>
    <xf numFmtId="167" fontId="6" fillId="3" borderId="0" xfId="2" applyNumberFormat="1" applyFont="1" applyFill="1"/>
    <xf numFmtId="37" fontId="4" fillId="0" borderId="0" xfId="2" applyFont="1" applyFill="1"/>
    <xf numFmtId="168" fontId="3" fillId="0" borderId="0" xfId="3" applyNumberFormat="1" applyFont="1" applyProtection="1"/>
    <xf numFmtId="168" fontId="3" fillId="0" borderId="0" xfId="3" applyNumberFormat="1" applyFont="1"/>
    <xf numFmtId="37" fontId="13" fillId="0" borderId="0" xfId="2" quotePrefix="1" applyFont="1" applyFill="1" applyAlignment="1">
      <alignment horizontal="left"/>
    </xf>
    <xf numFmtId="37" fontId="13" fillId="0" borderId="0" xfId="2" quotePrefix="1" applyFont="1" applyFill="1" applyProtection="1">
      <protection locked="0"/>
    </xf>
    <xf numFmtId="37" fontId="4" fillId="0" borderId="0" xfId="2" applyFont="1" applyFill="1" applyProtection="1">
      <protection locked="0"/>
    </xf>
    <xf numFmtId="37" fontId="3" fillId="0" borderId="0" xfId="2" applyFont="1" applyBorder="1"/>
    <xf numFmtId="168" fontId="3" fillId="0" borderId="0" xfId="3" applyNumberFormat="1" applyFont="1" applyBorder="1" applyProtection="1">
      <protection locked="0"/>
    </xf>
    <xf numFmtId="37" fontId="4" fillId="0" borderId="0" xfId="2" quotePrefix="1" applyFont="1" applyFill="1" applyProtection="1">
      <protection locked="0"/>
    </xf>
    <xf numFmtId="0" fontId="2" fillId="0" borderId="0" xfId="0" applyFont="1"/>
    <xf numFmtId="37" fontId="8" fillId="0" borderId="0" xfId="2" applyFont="1" applyFill="1"/>
    <xf numFmtId="168" fontId="6" fillId="0" borderId="0" xfId="3" applyNumberFormat="1" applyFont="1"/>
    <xf numFmtId="167" fontId="6" fillId="0" borderId="0" xfId="2" applyNumberFormat="1" applyFont="1"/>
    <xf numFmtId="168" fontId="6" fillId="3" borderId="0" xfId="3" applyNumberFormat="1" applyFont="1" applyFill="1"/>
    <xf numFmtId="167" fontId="6" fillId="4" borderId="0" xfId="2" applyNumberFormat="1" applyFont="1" applyFill="1"/>
    <xf numFmtId="0" fontId="0" fillId="0" borderId="0" xfId="0" applyFont="1"/>
    <xf numFmtId="37" fontId="4" fillId="0" borderId="0" xfId="2" applyFont="1" applyFill="1" applyAlignment="1">
      <alignment horizontal="left"/>
    </xf>
    <xf numFmtId="37" fontId="4" fillId="0" borderId="0" xfId="2" applyFont="1" applyFill="1" applyAlignment="1" applyProtection="1">
      <alignment horizontal="left"/>
      <protection locked="0"/>
    </xf>
    <xf numFmtId="37" fontId="4" fillId="0" borderId="0" xfId="2" applyFont="1" applyAlignment="1" applyProtection="1">
      <alignment horizontal="left"/>
      <protection locked="0"/>
    </xf>
    <xf numFmtId="168" fontId="3" fillId="0" borderId="3" xfId="3" applyNumberFormat="1" applyFont="1" applyBorder="1" applyProtection="1">
      <protection locked="0"/>
    </xf>
    <xf numFmtId="37" fontId="4" fillId="0" borderId="0" xfId="2" applyFont="1" applyAlignment="1">
      <alignment horizontal="left"/>
    </xf>
    <xf numFmtId="168" fontId="6" fillId="4" borderId="0" xfId="3" applyNumberFormat="1" applyFont="1" applyFill="1"/>
    <xf numFmtId="37" fontId="3" fillId="0" borderId="0" xfId="2" applyFont="1" applyFill="1" applyBorder="1"/>
    <xf numFmtId="37" fontId="4" fillId="0" borderId="0" xfId="2" quotePrefix="1" applyFont="1" applyAlignment="1" applyProtection="1">
      <alignment horizontal="left"/>
      <protection locked="0"/>
    </xf>
    <xf numFmtId="37" fontId="4" fillId="0" borderId="0" xfId="2" applyFont="1" applyBorder="1" applyAlignment="1">
      <alignment horizontal="left"/>
    </xf>
    <xf numFmtId="168" fontId="3" fillId="0" borderId="2" xfId="3" applyNumberFormat="1" applyFont="1" applyBorder="1"/>
    <xf numFmtId="168" fontId="3" fillId="0" borderId="0" xfId="3" applyNumberFormat="1" applyFont="1" applyBorder="1"/>
    <xf numFmtId="168" fontId="3" fillId="0" borderId="3" xfId="3" applyNumberFormat="1" applyFont="1" applyBorder="1" applyProtection="1"/>
    <xf numFmtId="168" fontId="3" fillId="0" borderId="0" xfId="3" applyNumberFormat="1" applyFont="1" applyBorder="1" applyProtection="1"/>
    <xf numFmtId="168" fontId="3" fillId="0" borderId="4" xfId="3" applyNumberFormat="1" applyFont="1" applyBorder="1" applyProtection="1"/>
    <xf numFmtId="37" fontId="4" fillId="0" borderId="0" xfId="2" applyFont="1" applyBorder="1"/>
    <xf numFmtId="37" fontId="3" fillId="0" borderId="0" xfId="2" applyNumberFormat="1" applyFont="1" applyBorder="1" applyProtection="1"/>
    <xf numFmtId="37" fontId="9" fillId="0" borderId="0" xfId="2" applyFont="1" applyBorder="1"/>
    <xf numFmtId="37" fontId="9" fillId="0" borderId="0" xfId="2" applyNumberFormat="1" applyFont="1" applyBorder="1" applyProtection="1"/>
    <xf numFmtId="169" fontId="9" fillId="0" borderId="0" xfId="3" applyNumberFormat="1" applyFont="1" applyBorder="1" applyProtection="1"/>
    <xf numFmtId="5" fontId="3" fillId="0" borderId="0" xfId="2" applyNumberFormat="1" applyFont="1" applyProtection="1"/>
    <xf numFmtId="37" fontId="4" fillId="0" borderId="0" xfId="2" quotePrefix="1" applyFont="1" applyAlignment="1">
      <alignment horizontal="right"/>
    </xf>
    <xf numFmtId="37" fontId="14" fillId="0" borderId="5" xfId="2" applyNumberFormat="1" applyFont="1" applyBorder="1" applyProtection="1"/>
    <xf numFmtId="37" fontId="3" fillId="0" borderId="6" xfId="2" applyFont="1" applyBorder="1"/>
    <xf numFmtId="37" fontId="3" fillId="0" borderId="7" xfId="2" applyNumberFormat="1" applyFont="1" applyBorder="1" applyProtection="1"/>
    <xf numFmtId="37" fontId="3" fillId="0" borderId="8" xfId="2" applyNumberFormat="1" applyFont="1" applyBorder="1" applyProtection="1"/>
    <xf numFmtId="37" fontId="3" fillId="0" borderId="0" xfId="2" applyFont="1" applyAlignment="1">
      <alignment horizontal="left"/>
    </xf>
    <xf numFmtId="37" fontId="3" fillId="0" borderId="9" xfId="2" applyNumberFormat="1" applyFont="1" applyBorder="1" applyProtection="1"/>
    <xf numFmtId="37" fontId="3" fillId="0" borderId="0" xfId="2" applyNumberFormat="1" applyFont="1" applyAlignment="1" applyProtection="1">
      <alignment horizontal="left"/>
    </xf>
    <xf numFmtId="170" fontId="3" fillId="0" borderId="0" xfId="2" applyNumberFormat="1" applyFont="1" applyProtection="1"/>
    <xf numFmtId="171" fontId="3" fillId="0" borderId="0" xfId="2" applyNumberFormat="1" applyFont="1" applyAlignment="1" applyProtection="1">
      <alignment horizontal="right"/>
      <protection locked="0"/>
    </xf>
    <xf numFmtId="37" fontId="3" fillId="0" borderId="9" xfId="2" applyNumberFormat="1" applyFont="1" applyBorder="1" applyAlignment="1" applyProtection="1">
      <alignment horizontal="left"/>
    </xf>
    <xf numFmtId="37" fontId="3" fillId="0" borderId="10" xfId="2" applyNumberFormat="1" applyFont="1" applyBorder="1" applyProtection="1"/>
    <xf numFmtId="37" fontId="3" fillId="0" borderId="11" xfId="2" applyNumberFormat="1" applyFont="1" applyBorder="1" applyProtection="1"/>
    <xf numFmtId="37" fontId="3" fillId="0" borderId="12" xfId="2" applyNumberFormat="1" applyFont="1" applyBorder="1" applyProtection="1"/>
    <xf numFmtId="37" fontId="4" fillId="0" borderId="0" xfId="2" applyFont="1" applyAlignment="1">
      <alignment horizontal="center"/>
    </xf>
    <xf numFmtId="37" fontId="3" fillId="0" borderId="0" xfId="2" applyFont="1" applyAlignment="1">
      <alignment horizontal="center"/>
    </xf>
    <xf numFmtId="37" fontId="4" fillId="0" borderId="0" xfId="2" applyFont="1" applyAlignment="1">
      <alignment horizontal="fill"/>
    </xf>
    <xf numFmtId="172" fontId="3" fillId="0" borderId="0" xfId="2" applyNumberFormat="1" applyFont="1" applyProtection="1"/>
    <xf numFmtId="37" fontId="4" fillId="0" borderId="0" xfId="2" applyFont="1" applyAlignment="1">
      <alignment horizontal="right"/>
    </xf>
    <xf numFmtId="170" fontId="3" fillId="0" borderId="0" xfId="2" applyNumberFormat="1" applyFont="1" applyProtection="1">
      <protection locked="0"/>
    </xf>
    <xf numFmtId="173" fontId="0" fillId="0" borderId="0" xfId="1" applyNumberFormat="1" applyFont="1"/>
    <xf numFmtId="168" fontId="0" fillId="0" borderId="0" xfId="0" applyNumberFormat="1"/>
    <xf numFmtId="44" fontId="0" fillId="0" borderId="0" xfId="1" applyNumberFormat="1" applyFont="1"/>
    <xf numFmtId="173" fontId="0" fillId="0" borderId="0" xfId="0" applyNumberFormat="1"/>
    <xf numFmtId="0" fontId="1" fillId="0" borderId="0" xfId="0" applyFont="1"/>
    <xf numFmtId="167" fontId="3" fillId="0" borderId="0" xfId="2" applyNumberFormat="1" applyFont="1" applyBorder="1"/>
    <xf numFmtId="49" fontId="13" fillId="0" borderId="0" xfId="2" applyNumberFormat="1" applyFont="1" applyFill="1" applyAlignment="1">
      <alignment horizontal="left"/>
    </xf>
    <xf numFmtId="43" fontId="3" fillId="0" borderId="0" xfId="3" applyNumberFormat="1" applyFont="1"/>
  </cellXfs>
  <cellStyles count="4">
    <cellStyle name="Comma 2" xfId="3"/>
    <cellStyle name="Currency" xfId="1" builtinId="4"/>
    <cellStyle name="Normal" xfId="0" builtinId="0"/>
    <cellStyle name="Normal_Press.all in.ROI 07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darbrook%20presentation.8.5.15.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General%20Accounting\Newsprint\Newsprint%20Model%202006\aug05c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ncstmt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xcel\senior\lisa99\inventory\inv99Gt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pudliner\Local%20Settings\Temporary%20Internet%20Files\OLK9B\nov06crm_45gm%20Adjusted%20AVG%20COPI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figueroa\Local%20Settings\Temporary%20Internet%20Files\OLK1AD\Dec%2015%20Final%20PEP%20Model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General%20Accounting\Special%20Projects\Special%20Projects%202006\Special%20Sections\Homes%20Plus%20Bucks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ris%20M\aug06crm_45gm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invested"/>
      <sheetName val="cap invest bal (2014)"/>
      <sheetName val="home sales"/>
      <sheetName val="Berks Heim"/>
      <sheetName val="LC bed counts"/>
      <sheetName val="beds"/>
      <sheetName val="Financial metrics (2014)"/>
      <sheetName val="Full rebuild"/>
      <sheetName val="Rebuild D only"/>
      <sheetName val="Rebuild D&amp;C, B apts"/>
      <sheetName val="New facility (demo)"/>
      <sheetName val="New facility (apts)"/>
      <sheetName val="new world"/>
      <sheetName val="summary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T.XLS"/>
      <sheetName val="ABC"/>
      <sheetName val="CIRC ADV"/>
      <sheetName val="POST PRESS"/>
      <sheetName val="LINE.XLS"/>
      <sheetName val="NWSPRT.XLS"/>
      <sheetName val="MSOVR.XLS"/>
      <sheetName val="CPYRTN.XLS"/>
      <sheetName val="PAID.XLS"/>
      <sheetName val="PDREP.XLS"/>
      <sheetName val="STANDARD PAGES REPORT"/>
      <sheetName val="STANDARD PAGES BY DAY"/>
      <sheetName val="Newshole Inches"/>
      <sheetName val="STANDARD PAGES %"/>
    </sheetNames>
    <sheetDataSet>
      <sheetData sheetId="0">
        <row r="429">
          <cell r="A429" t="str">
            <v>Misses and Shortages  (Service Copies)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inputs"/>
      <sheetName val="advertising"/>
      <sheetName val="circ"/>
      <sheetName val="other rev"/>
      <sheetName val="tribsplit"/>
      <sheetName val="newsprint"/>
      <sheetName val="PY pages"/>
      <sheetName val="news01"/>
      <sheetName val="news02"/>
      <sheetName val="news03"/>
      <sheetName val="news04"/>
      <sheetName val="news05"/>
      <sheetName val="news06"/>
      <sheetName val="news07"/>
      <sheetName val="news08"/>
      <sheetName val="news09"/>
      <sheetName val="news10"/>
      <sheetName val="news11"/>
      <sheetName val="news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ink inv 99"/>
      <sheetName val="colorink inv 99"/>
    </sheetNames>
    <sheetDataSet>
      <sheetData sheetId="0">
        <row r="1">
          <cell r="A1" t="str">
            <v xml:space="preserve">  The Morning Call</v>
          </cell>
        </row>
        <row r="2">
          <cell r="A2" t="str">
            <v>Black Ink Consumption</v>
          </cell>
        </row>
        <row r="3">
          <cell r="A3" t="str">
            <v>Arrowlith Low Rub Super Black</v>
          </cell>
        </row>
        <row r="4">
          <cell r="A4">
            <v>9812</v>
          </cell>
        </row>
        <row r="5">
          <cell r="A5" t="str">
            <v>032202</v>
          </cell>
        </row>
        <row r="6">
          <cell r="K6" t="str">
            <v>Pay</v>
          </cell>
        </row>
        <row r="7">
          <cell r="B7" t="str">
            <v>Date</v>
          </cell>
          <cell r="C7" t="str">
            <v>lbs.</v>
          </cell>
          <cell r="E7" t="str">
            <v>Price/lb.</v>
          </cell>
          <cell r="G7" t="str">
            <v>Total Cost</v>
          </cell>
          <cell r="I7" t="str">
            <v>Discount</v>
          </cell>
          <cell r="K7" t="str">
            <v>Amount</v>
          </cell>
        </row>
        <row r="9">
          <cell r="A9" t="str">
            <v>Beginning balance</v>
          </cell>
          <cell r="B9">
            <v>36128</v>
          </cell>
          <cell r="E9">
            <v>0.44</v>
          </cell>
          <cell r="G9">
            <v>0</v>
          </cell>
          <cell r="I9">
            <v>0</v>
          </cell>
          <cell r="K9">
            <v>0</v>
          </cell>
        </row>
        <row r="10">
          <cell r="C10">
            <v>52047</v>
          </cell>
          <cell r="E10">
            <v>0.49</v>
          </cell>
          <cell r="G10">
            <v>25503.03</v>
          </cell>
          <cell r="I10">
            <v>-7650.91</v>
          </cell>
          <cell r="K10">
            <v>17852.12</v>
          </cell>
        </row>
        <row r="11">
          <cell r="C11">
            <v>52047</v>
          </cell>
          <cell r="G11">
            <v>25503.03</v>
          </cell>
          <cell r="I11">
            <v>-7650.91</v>
          </cell>
          <cell r="K11">
            <v>17852.12</v>
          </cell>
        </row>
        <row r="13">
          <cell r="A13" t="str">
            <v>Received:</v>
          </cell>
          <cell r="C13">
            <v>0</v>
          </cell>
          <cell r="E13">
            <v>0.44</v>
          </cell>
          <cell r="G13">
            <v>0</v>
          </cell>
          <cell r="I13">
            <v>0</v>
          </cell>
          <cell r="K13">
            <v>0</v>
          </cell>
        </row>
        <row r="14">
          <cell r="C14">
            <v>40100</v>
          </cell>
          <cell r="E14">
            <v>0.49</v>
          </cell>
          <cell r="G14">
            <v>19649</v>
          </cell>
          <cell r="I14">
            <v>-5894.7</v>
          </cell>
          <cell r="K14">
            <v>13754.3</v>
          </cell>
        </row>
        <row r="15">
          <cell r="C15">
            <v>40100</v>
          </cell>
          <cell r="E15">
            <v>0</v>
          </cell>
          <cell r="G15">
            <v>19649</v>
          </cell>
          <cell r="I15">
            <v>-5894.7</v>
          </cell>
          <cell r="K15">
            <v>13754.3</v>
          </cell>
        </row>
        <row r="17">
          <cell r="A17" t="str">
            <v>Total Available</v>
          </cell>
          <cell r="C17">
            <v>0</v>
          </cell>
          <cell r="E17">
            <v>0.44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92147</v>
          </cell>
          <cell r="E18">
            <v>0.49</v>
          </cell>
          <cell r="G18">
            <v>45152.03</v>
          </cell>
          <cell r="I18">
            <v>-13545.61</v>
          </cell>
          <cell r="K18">
            <v>31606.42</v>
          </cell>
        </row>
        <row r="19">
          <cell r="C19">
            <v>92147</v>
          </cell>
          <cell r="G19">
            <v>45152.03</v>
          </cell>
          <cell r="I19">
            <v>-13545.61</v>
          </cell>
          <cell r="K19">
            <v>31606.42</v>
          </cell>
        </row>
        <row r="21">
          <cell r="A21" t="str">
            <v>Ending balance</v>
          </cell>
          <cell r="B21">
            <v>36160</v>
          </cell>
          <cell r="E21">
            <v>0.44</v>
          </cell>
          <cell r="G21">
            <v>0</v>
          </cell>
          <cell r="I21">
            <v>0</v>
          </cell>
          <cell r="K21">
            <v>0</v>
          </cell>
        </row>
        <row r="22">
          <cell r="C22">
            <v>60264</v>
          </cell>
          <cell r="E22">
            <v>0.49</v>
          </cell>
          <cell r="G22">
            <v>29529.360000000001</v>
          </cell>
          <cell r="I22">
            <v>-8858.81</v>
          </cell>
          <cell r="K22">
            <v>20670.550000000003</v>
          </cell>
        </row>
        <row r="23">
          <cell r="C23">
            <v>60264</v>
          </cell>
          <cell r="G23">
            <v>29529.360000000001</v>
          </cell>
          <cell r="I23">
            <v>-8858.81</v>
          </cell>
          <cell r="K23">
            <v>20670.550000000003</v>
          </cell>
        </row>
        <row r="25">
          <cell r="A25" t="str">
            <v>Consumed Ink</v>
          </cell>
          <cell r="B25">
            <v>36160</v>
          </cell>
          <cell r="C25">
            <v>0</v>
          </cell>
          <cell r="E25">
            <v>0.44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31883</v>
          </cell>
          <cell r="E26">
            <v>0.49</v>
          </cell>
          <cell r="G26">
            <v>15622.669999999998</v>
          </cell>
          <cell r="I26">
            <v>-4686.8000000000011</v>
          </cell>
          <cell r="K26">
            <v>10935.869999999995</v>
          </cell>
        </row>
        <row r="27">
          <cell r="C27">
            <v>31883</v>
          </cell>
          <cell r="G27">
            <v>15622.669999999998</v>
          </cell>
          <cell r="I27">
            <v>-4686.8000000000011</v>
          </cell>
          <cell r="K27">
            <v>10935.869999999997</v>
          </cell>
        </row>
        <row r="32">
          <cell r="C32" t="str">
            <v xml:space="preserve"> </v>
          </cell>
        </row>
        <row r="33">
          <cell r="A33" t="str">
            <v>Physical Measurements of Ink Tanks:</v>
          </cell>
        </row>
        <row r="34">
          <cell r="B34" t="str">
            <v>Tank #1 (N)</v>
          </cell>
          <cell r="C34">
            <v>5750</v>
          </cell>
          <cell r="E34" t="str">
            <v>gallon</v>
          </cell>
        </row>
        <row r="35">
          <cell r="B35" t="str">
            <v>Tank #2 (S)</v>
          </cell>
          <cell r="C35">
            <v>1400</v>
          </cell>
          <cell r="E35" t="str">
            <v>gallon</v>
          </cell>
        </row>
        <row r="36">
          <cell r="C36">
            <v>7150</v>
          </cell>
          <cell r="D36" t="str">
            <v>x</v>
          </cell>
          <cell r="E36" t="str">
            <v>8.4286 lb/gallon =</v>
          </cell>
          <cell r="G36">
            <v>60264</v>
          </cell>
          <cell r="I36" t="str">
            <v>total lbs.</v>
          </cell>
        </row>
      </sheetData>
      <sheetData sheetId="1">
        <row r="1">
          <cell r="A1" t="str">
            <v>Period</v>
          </cell>
          <cell r="C1">
            <v>9812</v>
          </cell>
        </row>
        <row r="2">
          <cell r="A2" t="str">
            <v>Beginning date</v>
          </cell>
          <cell r="C2">
            <v>36128</v>
          </cell>
          <cell r="H2" t="str">
            <v>COLOR INK CONSUMPTION</v>
          </cell>
        </row>
        <row r="3">
          <cell r="A3" t="str">
            <v>Ending date</v>
          </cell>
          <cell r="C3">
            <v>36160</v>
          </cell>
          <cell r="H3" t="str">
            <v>032203</v>
          </cell>
        </row>
        <row r="4">
          <cell r="M4" t="str">
            <v>Quantity</v>
          </cell>
          <cell r="N4" t="str">
            <v>Cost of</v>
          </cell>
          <cell r="P4" t="str">
            <v>Inches</v>
          </cell>
          <cell r="Q4" t="str">
            <v>Cnvrsn</v>
          </cell>
          <cell r="R4" t="str">
            <v>$$ Value</v>
          </cell>
        </row>
        <row r="5">
          <cell r="D5" t="str">
            <v>Ink Price</v>
          </cell>
          <cell r="E5" t="str">
            <v>Begin bal</v>
          </cell>
          <cell r="F5" t="str">
            <v>Begin bal</v>
          </cell>
          <cell r="H5" t="str">
            <v>Received</v>
          </cell>
          <cell r="K5" t="str">
            <v>Total  $$</v>
          </cell>
          <cell r="M5" t="str">
            <v>Available</v>
          </cell>
          <cell r="N5" t="str">
            <v>Available</v>
          </cell>
          <cell r="P5" t="str">
            <v>Per</v>
          </cell>
          <cell r="Q5" t="str">
            <v>to</v>
          </cell>
          <cell r="R5" t="str">
            <v>of Ending</v>
          </cell>
          <cell r="T5" t="str">
            <v>Pounds</v>
          </cell>
          <cell r="U5" t="str">
            <v>$$$</v>
          </cell>
        </row>
        <row r="6">
          <cell r="D6" t="str">
            <v>per lb.</v>
          </cell>
          <cell r="E6" t="str">
            <v>(lbs)</v>
          </cell>
          <cell r="F6" t="str">
            <v>($$$)</v>
          </cell>
          <cell r="H6" t="str">
            <v>(lbs.)</v>
          </cell>
          <cell r="I6" t="str">
            <v>Total $$</v>
          </cell>
          <cell r="J6" t="str">
            <v>Discount</v>
          </cell>
          <cell r="K6" t="str">
            <v>Payable</v>
          </cell>
          <cell r="M6" t="str">
            <v>#'s</v>
          </cell>
          <cell r="N6" t="str">
            <v>Inventory</v>
          </cell>
          <cell r="P6" t="str">
            <v>Tote</v>
          </cell>
          <cell r="Q6" t="str">
            <v>Pounds</v>
          </cell>
          <cell r="R6" t="str">
            <v>Inventory</v>
          </cell>
          <cell r="T6" t="str">
            <v>Cnsmd</v>
          </cell>
          <cell r="U6" t="str">
            <v>Cnsmd</v>
          </cell>
        </row>
        <row r="8">
          <cell r="A8" t="str">
            <v>Arrowlith Adlitho</v>
          </cell>
          <cell r="B8" t="str">
            <v>#81</v>
          </cell>
          <cell r="C8" t="str">
            <v>Inj Blue</v>
          </cell>
          <cell r="D8">
            <v>3.98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Arrowlith Adlitho</v>
          </cell>
          <cell r="B9" t="str">
            <v>#81</v>
          </cell>
          <cell r="C9" t="str">
            <v>Inj Blue</v>
          </cell>
          <cell r="D9">
            <v>3.98</v>
          </cell>
          <cell r="E9">
            <v>0</v>
          </cell>
          <cell r="F9">
            <v>0</v>
          </cell>
          <cell r="H9">
            <v>2444</v>
          </cell>
          <cell r="I9">
            <v>9727.1200000000008</v>
          </cell>
          <cell r="J9">
            <v>-2918.14</v>
          </cell>
          <cell r="K9">
            <v>6808.9800000000014</v>
          </cell>
          <cell r="M9">
            <v>2444</v>
          </cell>
          <cell r="N9">
            <v>6808.9800000000014</v>
          </cell>
          <cell r="P9">
            <v>30.5</v>
          </cell>
          <cell r="Q9">
            <v>1800</v>
          </cell>
          <cell r="R9">
            <v>5014.8</v>
          </cell>
        </row>
        <row r="10">
          <cell r="A10" t="str">
            <v>Arrowlith Adlitho</v>
          </cell>
          <cell r="B10" t="str">
            <v>#81</v>
          </cell>
          <cell r="C10" t="str">
            <v>Inj Blue</v>
          </cell>
          <cell r="D10">
            <v>3.98</v>
          </cell>
          <cell r="E10">
            <v>2478</v>
          </cell>
          <cell r="F10">
            <v>6903.71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2478</v>
          </cell>
          <cell r="N10">
            <v>6903.71</v>
          </cell>
          <cell r="P10">
            <v>0</v>
          </cell>
          <cell r="Q10">
            <v>0</v>
          </cell>
          <cell r="R10">
            <v>0</v>
          </cell>
          <cell r="T10">
            <v>3122</v>
          </cell>
          <cell r="U10">
            <v>8697.89</v>
          </cell>
        </row>
        <row r="12">
          <cell r="A12" t="str">
            <v>Arrowlith Adlitho</v>
          </cell>
          <cell r="B12" t="str">
            <v>#83</v>
          </cell>
          <cell r="C12" t="str">
            <v>Inj Yllw</v>
          </cell>
          <cell r="D12">
            <v>2.7</v>
          </cell>
          <cell r="E12">
            <v>1534</v>
          </cell>
          <cell r="F12">
            <v>2899.26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1534</v>
          </cell>
          <cell r="N12">
            <v>2899.26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Arrowlith Adlitho</v>
          </cell>
          <cell r="B13" t="str">
            <v>#83</v>
          </cell>
          <cell r="C13" t="str">
            <v>Inj Yllw</v>
          </cell>
          <cell r="D13">
            <v>2.7</v>
          </cell>
          <cell r="E13">
            <v>0</v>
          </cell>
          <cell r="F13">
            <v>0</v>
          </cell>
          <cell r="H13">
            <v>2475</v>
          </cell>
          <cell r="I13">
            <v>6682.5</v>
          </cell>
          <cell r="J13">
            <v>-2004.75</v>
          </cell>
          <cell r="K13">
            <v>4677.75</v>
          </cell>
          <cell r="M13">
            <v>2475</v>
          </cell>
          <cell r="N13">
            <v>4677.75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Arrowlith Adlitho</v>
          </cell>
          <cell r="B14" t="str">
            <v>#83</v>
          </cell>
          <cell r="C14" t="str">
            <v>Inj Yllw</v>
          </cell>
          <cell r="D14">
            <v>2.7</v>
          </cell>
          <cell r="E14">
            <v>0</v>
          </cell>
          <cell r="F14">
            <v>0</v>
          </cell>
          <cell r="H14">
            <v>2420</v>
          </cell>
          <cell r="I14">
            <v>6534</v>
          </cell>
          <cell r="J14">
            <v>-1960.2</v>
          </cell>
          <cell r="K14">
            <v>4573.8</v>
          </cell>
          <cell r="M14">
            <v>2420</v>
          </cell>
          <cell r="N14">
            <v>4573.8</v>
          </cell>
          <cell r="P14">
            <v>36</v>
          </cell>
          <cell r="Q14">
            <v>2124</v>
          </cell>
          <cell r="R14">
            <v>4014.36</v>
          </cell>
          <cell r="T14">
            <v>4305</v>
          </cell>
          <cell r="U14">
            <v>8136.45</v>
          </cell>
        </row>
        <row r="16">
          <cell r="A16" t="str">
            <v>Adlitho Soy Plus</v>
          </cell>
          <cell r="B16" t="str">
            <v>#82</v>
          </cell>
          <cell r="C16" t="str">
            <v>Pro Red</v>
          </cell>
          <cell r="D16">
            <v>3.56</v>
          </cell>
          <cell r="E16">
            <v>0</v>
          </cell>
          <cell r="F16">
            <v>0</v>
          </cell>
          <cell r="H16">
            <v>2356</v>
          </cell>
          <cell r="I16">
            <v>8387.36</v>
          </cell>
          <cell r="J16">
            <v>-2516.21</v>
          </cell>
          <cell r="K16">
            <v>5871.1500000000005</v>
          </cell>
          <cell r="M16">
            <v>2356</v>
          </cell>
          <cell r="N16">
            <v>5871.1500000000005</v>
          </cell>
          <cell r="P16">
            <v>38.5</v>
          </cell>
          <cell r="Q16">
            <v>2272</v>
          </cell>
          <cell r="R16">
            <v>5661.82</v>
          </cell>
        </row>
        <row r="17">
          <cell r="A17" t="str">
            <v>Adlitho Soy Plus</v>
          </cell>
          <cell r="B17" t="str">
            <v>#82</v>
          </cell>
          <cell r="C17" t="str">
            <v>Pro Red</v>
          </cell>
          <cell r="D17">
            <v>3.56</v>
          </cell>
          <cell r="E17">
            <v>1043</v>
          </cell>
          <cell r="F17">
            <v>2599.16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1043</v>
          </cell>
          <cell r="N17">
            <v>2599.16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Adlitho Soy Plus</v>
          </cell>
          <cell r="B18" t="str">
            <v>#82</v>
          </cell>
          <cell r="C18" t="str">
            <v>Pro Red</v>
          </cell>
          <cell r="D18">
            <v>3.56</v>
          </cell>
          <cell r="E18">
            <v>2497</v>
          </cell>
          <cell r="F18">
            <v>6222.52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2497</v>
          </cell>
          <cell r="N18">
            <v>6222.52</v>
          </cell>
          <cell r="P18">
            <v>0</v>
          </cell>
          <cell r="Q18">
            <v>0</v>
          </cell>
          <cell r="R18">
            <v>0</v>
          </cell>
          <cell r="T18">
            <v>3624</v>
          </cell>
          <cell r="U18">
            <v>9031.01</v>
          </cell>
        </row>
        <row r="20">
          <cell r="A20" t="str">
            <v>Arrowlith (Soy)</v>
          </cell>
          <cell r="B20">
            <v>723</v>
          </cell>
          <cell r="C20" t="str">
            <v>Red</v>
          </cell>
          <cell r="D20">
            <v>3.66</v>
          </cell>
          <cell r="E20">
            <v>887</v>
          </cell>
          <cell r="F20">
            <v>2272.4899999999998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887</v>
          </cell>
          <cell r="N20">
            <v>2272.4899999999998</v>
          </cell>
          <cell r="P20">
            <v>4.4850000000000003</v>
          </cell>
          <cell r="Q20">
            <v>265</v>
          </cell>
          <cell r="R20">
            <v>678.93</v>
          </cell>
        </row>
        <row r="21">
          <cell r="A21" t="str">
            <v>Arrowlith (Soy)</v>
          </cell>
          <cell r="B21">
            <v>723</v>
          </cell>
          <cell r="C21" t="str">
            <v>Red</v>
          </cell>
          <cell r="D21">
            <v>3.66</v>
          </cell>
          <cell r="E21">
            <v>0</v>
          </cell>
          <cell r="F21">
            <v>0</v>
          </cell>
          <cell r="H21">
            <v>2717</v>
          </cell>
          <cell r="I21">
            <v>9944.2200000000012</v>
          </cell>
          <cell r="J21">
            <v>-2983.2660000000001</v>
          </cell>
          <cell r="K21">
            <v>6960.9540000000015</v>
          </cell>
          <cell r="M21">
            <v>2717</v>
          </cell>
          <cell r="N21">
            <v>6960.9540000000015</v>
          </cell>
          <cell r="P21">
            <v>46.045000000000002</v>
          </cell>
          <cell r="Q21">
            <v>2717</v>
          </cell>
          <cell r="R21">
            <v>6960.95</v>
          </cell>
        </row>
        <row r="22">
          <cell r="A22" t="str">
            <v>Arrowlith (Soy)</v>
          </cell>
          <cell r="B22">
            <v>723</v>
          </cell>
          <cell r="C22" t="str">
            <v>Red</v>
          </cell>
          <cell r="D22">
            <v>3.66</v>
          </cell>
          <cell r="E22">
            <v>2329</v>
          </cell>
          <cell r="F22">
            <v>5966.9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2329</v>
          </cell>
          <cell r="N22">
            <v>5966.9</v>
          </cell>
          <cell r="P22">
            <v>39.47</v>
          </cell>
          <cell r="Q22">
            <v>2329</v>
          </cell>
          <cell r="R22">
            <v>5966.9</v>
          </cell>
        </row>
        <row r="23">
          <cell r="A23" t="str">
            <v>Arrowlith (Soy)</v>
          </cell>
          <cell r="B23">
            <v>723</v>
          </cell>
          <cell r="C23" t="str">
            <v>Red</v>
          </cell>
          <cell r="D23">
            <v>3.68</v>
          </cell>
          <cell r="E23">
            <v>0</v>
          </cell>
          <cell r="F23">
            <v>8.1999999999999993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8.1999999999999993</v>
          </cell>
          <cell r="P23">
            <v>0</v>
          </cell>
          <cell r="Q23">
            <v>0</v>
          </cell>
          <cell r="R23">
            <v>8.1999999999999993</v>
          </cell>
          <cell r="T23">
            <v>622</v>
          </cell>
          <cell r="U23">
            <v>1593.56</v>
          </cell>
        </row>
        <row r="25">
          <cell r="A25" t="str">
            <v>Arrowlith Adlitho</v>
          </cell>
          <cell r="B25" t="str">
            <v>#77</v>
          </cell>
          <cell r="C25" t="str">
            <v>Purple</v>
          </cell>
          <cell r="D25">
            <v>3.77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</row>
        <row r="27">
          <cell r="A27" t="str">
            <v>Arrowlith Offset</v>
          </cell>
          <cell r="B27" t="str">
            <v>#70</v>
          </cell>
          <cell r="C27" t="str">
            <v>Mix White</v>
          </cell>
          <cell r="D27">
            <v>1.18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</row>
        <row r="29">
          <cell r="A29" t="str">
            <v>Adlitho Soy Plus</v>
          </cell>
          <cell r="B29" t="str">
            <v>SP</v>
          </cell>
          <cell r="C29" t="str">
            <v>Reflex Blue</v>
          </cell>
          <cell r="D29">
            <v>3.39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</row>
        <row r="31">
          <cell r="A31" t="str">
            <v xml:space="preserve">Arrowlith </v>
          </cell>
          <cell r="B31" t="str">
            <v>#76</v>
          </cell>
          <cell r="C31" t="str">
            <v>Cerise</v>
          </cell>
          <cell r="D31">
            <v>4.55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T31">
            <v>0</v>
          </cell>
          <cell r="U31">
            <v>0</v>
          </cell>
        </row>
        <row r="33">
          <cell r="A33" t="str">
            <v>Arrowlith Soy</v>
          </cell>
          <cell r="B33" t="str">
            <v>#75</v>
          </cell>
          <cell r="C33" t="str">
            <v>Red</v>
          </cell>
          <cell r="D33">
            <v>2.44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T33">
            <v>0</v>
          </cell>
          <cell r="U33">
            <v>0</v>
          </cell>
        </row>
        <row r="35">
          <cell r="A35" t="str">
            <v>Arwlth Sped Soy</v>
          </cell>
          <cell r="B35" t="str">
            <v>#65</v>
          </cell>
          <cell r="C35" t="str">
            <v>Red</v>
          </cell>
          <cell r="D35">
            <v>2.44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T35">
            <v>0</v>
          </cell>
          <cell r="U35">
            <v>0</v>
          </cell>
        </row>
        <row r="38">
          <cell r="E38">
            <v>10768</v>
          </cell>
          <cell r="F38">
            <v>26872.240000000002</v>
          </cell>
          <cell r="H38">
            <v>12412</v>
          </cell>
          <cell r="K38">
            <v>28892.634000000005</v>
          </cell>
          <cell r="M38">
            <v>23180</v>
          </cell>
          <cell r="N38">
            <v>55764.87</v>
          </cell>
          <cell r="P38">
            <v>195</v>
          </cell>
          <cell r="Q38">
            <v>11507</v>
          </cell>
          <cell r="R38">
            <v>28305.96</v>
          </cell>
          <cell r="T38">
            <v>11673</v>
          </cell>
          <cell r="U38">
            <v>27458.91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T.XLS"/>
      <sheetName val="CPYRTN.XLS"/>
      <sheetName val="CIRC ADV"/>
      <sheetName val="MSOVR.XLS"/>
      <sheetName val="POST PRESS"/>
      <sheetName val="Class ROP Class"/>
      <sheetName val="CLSF PLND"/>
      <sheetName val="LINE.XLS"/>
      <sheetName val="NWSPRT.XLS"/>
      <sheetName val="PAID.XLS"/>
      <sheetName val="PDREP.XLS"/>
      <sheetName val="STANDARD PAGES REPORT"/>
      <sheetName val="STANDARD PAGES BY DAY"/>
      <sheetName val="Newshole Inches"/>
      <sheetName val="STANDARD PAGES %"/>
      <sheetName val="ABC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ROI"/>
      <sheetName val="SVA"/>
      <sheetName val="CCA"/>
      <sheetName val="S CF"/>
      <sheetName val="S Rev"/>
      <sheetName val="S Circ"/>
      <sheetName val="S AdInk"/>
      <sheetName val="S Prod"/>
      <sheetName val="S D1"/>
      <sheetName val="S D2"/>
      <sheetName val="S D3"/>
      <sheetName val="r revday"/>
      <sheetName val="r phase in"/>
      <sheetName val="r daily"/>
      <sheetName val="r sun"/>
      <sheetName val="r advance"/>
      <sheetName val="r block"/>
      <sheetName val="r up"/>
      <sheetName val="r inn"/>
      <sheetName val="r pg sum"/>
      <sheetName val="r sum"/>
      <sheetName val="1a-5a"/>
      <sheetName val="3b"/>
      <sheetName val="5bn"/>
      <sheetName val="7b"/>
      <sheetName val="8b"/>
      <sheetName val="9b"/>
      <sheetName val="10b"/>
      <sheetName val="11b"/>
      <sheetName val="12b"/>
      <sheetName val="13b"/>
      <sheetName val="d trans"/>
      <sheetName val="1d-2d"/>
      <sheetName val="D Press Av"/>
      <sheetName val="D Sun Str"/>
      <sheetName val="d news&amp;ink"/>
      <sheetName val="d sun pg"/>
      <sheetName val="Inputs"/>
      <sheetName val="ROI Sum"/>
      <sheetName val="memo calcs"/>
      <sheetName val="Ad 1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_Product_Reporting"/>
      <sheetName val="SPR Bucks"/>
    </sheetNames>
    <sheetDataSet>
      <sheetData sheetId="0">
        <row r="1">
          <cell r="A1" t="str">
            <v>WEEK</v>
          </cell>
          <cell r="B1" t="str">
            <v>Flash Descx</v>
          </cell>
          <cell r="C1" t="str">
            <v>Merge_Revenue_Retail</v>
          </cell>
          <cell r="D1" t="str">
            <v>Merge_Revenue_National</v>
          </cell>
          <cell r="E1" t="str">
            <v>Merge_Revenue_From_ROP_FR</v>
          </cell>
          <cell r="F1" t="str">
            <v>Merge_Revenue_Classified</v>
          </cell>
          <cell r="G1" t="str">
            <v>Real_Estate_Weekly_Revenue</v>
          </cell>
          <cell r="H1" t="str">
            <v>LVLiving_Retail_Revenue</v>
          </cell>
          <cell r="I1" t="str">
            <v>LVLiving_Classified_Revenue</v>
          </cell>
          <cell r="J1" t="str">
            <v>LVLiving_National_Revenue</v>
          </cell>
          <cell r="K1" t="str">
            <v>TMC_Revenue_Retail</v>
          </cell>
          <cell r="L1" t="str">
            <v>TMC_Revenue_Nationall</v>
          </cell>
          <cell r="M1" t="str">
            <v>TMC_Revenue_Classified</v>
          </cell>
          <cell r="N1" t="str">
            <v>Home&amp;Garden_Retail_Revenue</v>
          </cell>
          <cell r="O1" t="str">
            <v>Home&amp;Garden_Classified_Revenue</v>
          </cell>
          <cell r="P1" t="str">
            <v>Home&amp;Garden_National_Revenue</v>
          </cell>
          <cell r="Q1" t="str">
            <v>CommunityGuide_Retail_Revenue</v>
          </cell>
          <cell r="R1" t="str">
            <v>CommunityGuide_Classified_Revenue</v>
          </cell>
          <cell r="S1" t="str">
            <v>CommunityGuide_National_Revenue</v>
          </cell>
          <cell r="T1" t="str">
            <v>HomesBooks_Retail_Revenue</v>
          </cell>
          <cell r="U1" t="str">
            <v>HomesBooks_Classified_Revenue</v>
          </cell>
          <cell r="V1" t="str">
            <v>HomesBooks_National_Revenue</v>
          </cell>
        </row>
        <row r="2">
          <cell r="A2">
            <v>200601</v>
          </cell>
          <cell r="C2">
            <v>3786.88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35021.800000000003</v>
          </cell>
          <cell r="I2">
            <v>0</v>
          </cell>
          <cell r="J2">
            <v>0</v>
          </cell>
          <cell r="K2">
            <v>18492.009999999998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200601</v>
          </cell>
          <cell r="B3" t="str">
            <v>Real Estate</v>
          </cell>
          <cell r="C3">
            <v>0</v>
          </cell>
          <cell r="D3">
            <v>0</v>
          </cell>
          <cell r="E3">
            <v>223</v>
          </cell>
          <cell r="F3">
            <v>0</v>
          </cell>
          <cell r="G3">
            <v>27858.83</v>
          </cell>
          <cell r="H3">
            <v>0</v>
          </cell>
          <cell r="I3">
            <v>5825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200601</v>
          </cell>
          <cell r="B4" t="str">
            <v>Automotive</v>
          </cell>
          <cell r="C4">
            <v>0</v>
          </cell>
          <cell r="D4">
            <v>0</v>
          </cell>
          <cell r="E4">
            <v>237</v>
          </cell>
          <cell r="F4">
            <v>357.69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200601</v>
          </cell>
          <cell r="B5" t="str">
            <v>Help Wanted</v>
          </cell>
          <cell r="C5">
            <v>0</v>
          </cell>
          <cell r="D5">
            <v>0</v>
          </cell>
          <cell r="E5">
            <v>27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200601</v>
          </cell>
          <cell r="B6" t="str">
            <v>Merchandise</v>
          </cell>
          <cell r="C6">
            <v>0</v>
          </cell>
          <cell r="D6">
            <v>0</v>
          </cell>
          <cell r="E6">
            <v>297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200601</v>
          </cell>
          <cell r="B7" t="str">
            <v>Chronicles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3260.34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200602</v>
          </cell>
          <cell r="C8">
            <v>3945.38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13868.25</v>
          </cell>
          <cell r="L8">
            <v>636.88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200602</v>
          </cell>
          <cell r="B9" t="str">
            <v>Real Estate</v>
          </cell>
          <cell r="C9">
            <v>0</v>
          </cell>
          <cell r="D9">
            <v>0</v>
          </cell>
          <cell r="E9">
            <v>322</v>
          </cell>
          <cell r="F9">
            <v>0</v>
          </cell>
          <cell r="G9">
            <v>33582.5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200602</v>
          </cell>
          <cell r="B10" t="str">
            <v>Automotive</v>
          </cell>
          <cell r="C10">
            <v>0</v>
          </cell>
          <cell r="D10">
            <v>0</v>
          </cell>
          <cell r="E10">
            <v>202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200602</v>
          </cell>
          <cell r="B11" t="str">
            <v>Help Wanted</v>
          </cell>
          <cell r="C11">
            <v>0</v>
          </cell>
          <cell r="D11">
            <v>0</v>
          </cell>
          <cell r="E11">
            <v>34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200602</v>
          </cell>
          <cell r="B12" t="str">
            <v>Merchandise</v>
          </cell>
          <cell r="C12">
            <v>0</v>
          </cell>
          <cell r="D12">
            <v>0</v>
          </cell>
          <cell r="E12">
            <v>264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200602</v>
          </cell>
          <cell r="B13" t="str">
            <v>Chronicles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4182.93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>
            <v>200603</v>
          </cell>
          <cell r="C14">
            <v>3004.38</v>
          </cell>
          <cell r="D14">
            <v>140</v>
          </cell>
          <cell r="E14">
            <v>0</v>
          </cell>
          <cell r="F14">
            <v>0</v>
          </cell>
          <cell r="G14">
            <v>0</v>
          </cell>
          <cell r="H14">
            <v>-2500</v>
          </cell>
          <cell r="I14">
            <v>0</v>
          </cell>
          <cell r="J14">
            <v>0</v>
          </cell>
          <cell r="K14">
            <v>16938.88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>
            <v>200603</v>
          </cell>
          <cell r="B15" t="str">
            <v>Real Estate</v>
          </cell>
          <cell r="C15">
            <v>0</v>
          </cell>
          <cell r="D15">
            <v>0</v>
          </cell>
          <cell r="E15">
            <v>603</v>
          </cell>
          <cell r="F15">
            <v>0</v>
          </cell>
          <cell r="G15">
            <v>34610.730000000003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>
            <v>200603</v>
          </cell>
          <cell r="B16" t="str">
            <v>Automotive</v>
          </cell>
          <cell r="C16">
            <v>0</v>
          </cell>
          <cell r="D16">
            <v>0</v>
          </cell>
          <cell r="E16">
            <v>330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200603</v>
          </cell>
          <cell r="B17" t="str">
            <v>Help Wanted</v>
          </cell>
          <cell r="C17">
            <v>0</v>
          </cell>
          <cell r="D17">
            <v>0</v>
          </cell>
          <cell r="E17">
            <v>139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A18">
            <v>200603</v>
          </cell>
          <cell r="B18" t="str">
            <v>Merchandise</v>
          </cell>
          <cell r="C18">
            <v>0</v>
          </cell>
          <cell r="D18">
            <v>0</v>
          </cell>
          <cell r="E18">
            <v>329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>
            <v>200603</v>
          </cell>
          <cell r="B19" t="str">
            <v>Chronicles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5220.4799999999996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>
            <v>200604</v>
          </cell>
          <cell r="C20">
            <v>3757.13</v>
          </cell>
          <cell r="D20">
            <v>108</v>
          </cell>
          <cell r="E20">
            <v>0</v>
          </cell>
          <cell r="F20">
            <v>0</v>
          </cell>
          <cell r="G20">
            <v>0</v>
          </cell>
          <cell r="H20">
            <v>-460</v>
          </cell>
          <cell r="I20">
            <v>0</v>
          </cell>
          <cell r="J20">
            <v>0</v>
          </cell>
          <cell r="K20">
            <v>17748.080000000002</v>
          </cell>
          <cell r="L20">
            <v>391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>
            <v>200604</v>
          </cell>
          <cell r="B21" t="str">
            <v>Real Estate</v>
          </cell>
          <cell r="C21">
            <v>0</v>
          </cell>
          <cell r="D21">
            <v>0</v>
          </cell>
          <cell r="E21">
            <v>718</v>
          </cell>
          <cell r="F21">
            <v>0</v>
          </cell>
          <cell r="G21">
            <v>38372.14</v>
          </cell>
          <cell r="H21">
            <v>0</v>
          </cell>
          <cell r="I21">
            <v>-700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5567.5</v>
          </cell>
          <cell r="V21">
            <v>0</v>
          </cell>
        </row>
        <row r="22">
          <cell r="A22">
            <v>200604</v>
          </cell>
          <cell r="B22" t="str">
            <v>Automotive</v>
          </cell>
          <cell r="C22">
            <v>0</v>
          </cell>
          <cell r="D22">
            <v>0</v>
          </cell>
          <cell r="E22">
            <v>437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A23">
            <v>200604</v>
          </cell>
          <cell r="B23" t="str">
            <v>Help Wanted</v>
          </cell>
          <cell r="C23">
            <v>0</v>
          </cell>
          <cell r="D23">
            <v>0</v>
          </cell>
          <cell r="E23">
            <v>177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>
            <v>200604</v>
          </cell>
          <cell r="B24" t="str">
            <v>Merchandise</v>
          </cell>
          <cell r="C24">
            <v>0</v>
          </cell>
          <cell r="D24">
            <v>0</v>
          </cell>
          <cell r="E24">
            <v>504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>
            <v>200604</v>
          </cell>
          <cell r="B25" t="str">
            <v>Chronicles</v>
          </cell>
          <cell r="C25">
            <v>0</v>
          </cell>
          <cell r="D25">
            <v>0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5486.14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>
            <v>200605</v>
          </cell>
          <cell r="C26">
            <v>3690.63</v>
          </cell>
          <cell r="D26">
            <v>108</v>
          </cell>
          <cell r="E26">
            <v>0</v>
          </cell>
          <cell r="F26">
            <v>0</v>
          </cell>
          <cell r="G26">
            <v>0</v>
          </cell>
          <cell r="H26">
            <v>-200</v>
          </cell>
          <cell r="I26">
            <v>0</v>
          </cell>
          <cell r="J26">
            <v>0</v>
          </cell>
          <cell r="K26">
            <v>18173.73</v>
          </cell>
          <cell r="L26">
            <v>944.25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>
            <v>200605</v>
          </cell>
          <cell r="B27" t="str">
            <v>Real Estate</v>
          </cell>
          <cell r="C27">
            <v>0</v>
          </cell>
          <cell r="D27">
            <v>0</v>
          </cell>
          <cell r="E27">
            <v>568</v>
          </cell>
          <cell r="F27">
            <v>0</v>
          </cell>
          <cell r="G27">
            <v>37320.53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-35</v>
          </cell>
          <cell r="V27">
            <v>0</v>
          </cell>
        </row>
        <row r="28">
          <cell r="A28">
            <v>200605</v>
          </cell>
          <cell r="B28" t="str">
            <v>Automotive</v>
          </cell>
          <cell r="C28">
            <v>0</v>
          </cell>
          <cell r="D28">
            <v>0</v>
          </cell>
          <cell r="E28">
            <v>367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200605</v>
          </cell>
          <cell r="B29" t="str">
            <v>Help Wanted</v>
          </cell>
          <cell r="C29">
            <v>0</v>
          </cell>
          <cell r="D29">
            <v>0</v>
          </cell>
          <cell r="E29">
            <v>187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>
            <v>200605</v>
          </cell>
          <cell r="B30" t="str">
            <v>Merchandise</v>
          </cell>
          <cell r="C30">
            <v>0</v>
          </cell>
          <cell r="D30">
            <v>0</v>
          </cell>
          <cell r="E30">
            <v>448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200605</v>
          </cell>
          <cell r="B31" t="str">
            <v>Chronicles</v>
          </cell>
          <cell r="C31">
            <v>0</v>
          </cell>
          <cell r="D31">
            <v>0</v>
          </cell>
          <cell r="E31">
            <v>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5693.02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200606</v>
          </cell>
          <cell r="C32">
            <v>883.18</v>
          </cell>
          <cell r="D32">
            <v>108</v>
          </cell>
          <cell r="E32">
            <v>0</v>
          </cell>
          <cell r="F32">
            <v>0</v>
          </cell>
          <cell r="G32">
            <v>0</v>
          </cell>
          <cell r="H32">
            <v>33024.800000000003</v>
          </cell>
          <cell r="I32">
            <v>0</v>
          </cell>
          <cell r="J32">
            <v>0</v>
          </cell>
          <cell r="K32">
            <v>22595.77</v>
          </cell>
          <cell r="L32">
            <v>450.5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200606</v>
          </cell>
          <cell r="B33" t="str">
            <v>Real Estate</v>
          </cell>
          <cell r="C33">
            <v>0</v>
          </cell>
          <cell r="D33">
            <v>0</v>
          </cell>
          <cell r="E33">
            <v>575</v>
          </cell>
          <cell r="F33">
            <v>0</v>
          </cell>
          <cell r="G33">
            <v>37814.120000000003</v>
          </cell>
          <cell r="H33">
            <v>0</v>
          </cell>
          <cell r="I33">
            <v>3600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200606</v>
          </cell>
          <cell r="B34" t="str">
            <v>Automotive</v>
          </cell>
          <cell r="C34">
            <v>0</v>
          </cell>
          <cell r="D34">
            <v>0</v>
          </cell>
          <cell r="E34">
            <v>286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200606</v>
          </cell>
          <cell r="B35" t="str">
            <v>Help Wanted</v>
          </cell>
          <cell r="C35">
            <v>0</v>
          </cell>
          <cell r="D35">
            <v>0</v>
          </cell>
          <cell r="E35">
            <v>109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200606</v>
          </cell>
          <cell r="B36" t="str">
            <v>Merchandise</v>
          </cell>
          <cell r="C36">
            <v>0</v>
          </cell>
          <cell r="D36">
            <v>0</v>
          </cell>
          <cell r="E36">
            <v>436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200606</v>
          </cell>
          <cell r="B37" t="str">
            <v>Chronicles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6207.98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>
            <v>200607</v>
          </cell>
          <cell r="C38">
            <v>3787.88</v>
          </cell>
          <cell r="D38">
            <v>108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19992.849999999999</v>
          </cell>
          <cell r="L38">
            <v>451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A39">
            <v>200607</v>
          </cell>
          <cell r="B39" t="str">
            <v>Real Estate</v>
          </cell>
          <cell r="C39">
            <v>0</v>
          </cell>
          <cell r="D39">
            <v>0</v>
          </cell>
          <cell r="E39">
            <v>623</v>
          </cell>
          <cell r="F39">
            <v>0</v>
          </cell>
          <cell r="G39">
            <v>36484.6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A40">
            <v>200607</v>
          </cell>
          <cell r="B40" t="str">
            <v>Automotive</v>
          </cell>
          <cell r="C40">
            <v>0</v>
          </cell>
          <cell r="D40">
            <v>0</v>
          </cell>
          <cell r="E40">
            <v>369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>
            <v>200607</v>
          </cell>
          <cell r="B41" t="str">
            <v>Help Wanted</v>
          </cell>
          <cell r="C41">
            <v>0</v>
          </cell>
          <cell r="D41">
            <v>0</v>
          </cell>
          <cell r="E41">
            <v>192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200607</v>
          </cell>
          <cell r="B42" t="str">
            <v>Merchandise</v>
          </cell>
          <cell r="C42">
            <v>0</v>
          </cell>
          <cell r="D42">
            <v>0</v>
          </cell>
          <cell r="E42">
            <v>441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200607</v>
          </cell>
          <cell r="B43" t="str">
            <v>Chronicles</v>
          </cell>
          <cell r="C43">
            <v>0</v>
          </cell>
          <cell r="D43">
            <v>0</v>
          </cell>
          <cell r="E43">
            <v>18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5647.83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A44">
            <v>200608</v>
          </cell>
          <cell r="C44">
            <v>3345.57</v>
          </cell>
          <cell r="D44">
            <v>108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20038.14</v>
          </cell>
          <cell r="L44">
            <v>391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A45">
            <v>200608</v>
          </cell>
          <cell r="B45" t="str">
            <v>Real Estate</v>
          </cell>
          <cell r="C45">
            <v>0</v>
          </cell>
          <cell r="D45">
            <v>0</v>
          </cell>
          <cell r="E45">
            <v>629</v>
          </cell>
          <cell r="F45">
            <v>0</v>
          </cell>
          <cell r="G45">
            <v>39154.53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5512.5</v>
          </cell>
          <cell r="V45">
            <v>0</v>
          </cell>
        </row>
        <row r="46">
          <cell r="A46">
            <v>200608</v>
          </cell>
          <cell r="B46" t="str">
            <v>Automotive</v>
          </cell>
          <cell r="C46">
            <v>0</v>
          </cell>
          <cell r="D46">
            <v>0</v>
          </cell>
          <cell r="E46">
            <v>411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>
            <v>200608</v>
          </cell>
          <cell r="B47" t="str">
            <v>Help Wanted</v>
          </cell>
          <cell r="C47">
            <v>0</v>
          </cell>
          <cell r="D47">
            <v>0</v>
          </cell>
          <cell r="E47">
            <v>147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200608</v>
          </cell>
          <cell r="B48" t="str">
            <v>Merchandise</v>
          </cell>
          <cell r="C48">
            <v>0</v>
          </cell>
          <cell r="D48">
            <v>0</v>
          </cell>
          <cell r="E48">
            <v>389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200608</v>
          </cell>
          <cell r="B49" t="str">
            <v>Chronicles</v>
          </cell>
          <cell r="C49">
            <v>0</v>
          </cell>
          <cell r="D49">
            <v>0</v>
          </cell>
          <cell r="E49">
            <v>16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7842.17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200609</v>
          </cell>
          <cell r="C50">
            <v>2325.63</v>
          </cell>
          <cell r="D50">
            <v>108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20938.240000000002</v>
          </cell>
          <cell r="L50">
            <v>391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200609</v>
          </cell>
          <cell r="B51" t="str">
            <v>Real Estate</v>
          </cell>
          <cell r="C51">
            <v>0</v>
          </cell>
          <cell r="D51">
            <v>0</v>
          </cell>
          <cell r="E51">
            <v>466</v>
          </cell>
          <cell r="F51">
            <v>0</v>
          </cell>
          <cell r="G51">
            <v>37647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200609</v>
          </cell>
          <cell r="B52" t="str">
            <v>Automotive</v>
          </cell>
          <cell r="C52">
            <v>0</v>
          </cell>
          <cell r="D52">
            <v>0</v>
          </cell>
          <cell r="E52">
            <v>439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200609</v>
          </cell>
          <cell r="B53" t="str">
            <v>Help Wanted</v>
          </cell>
          <cell r="C53">
            <v>0</v>
          </cell>
          <cell r="D53">
            <v>0</v>
          </cell>
          <cell r="E53">
            <v>235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200609</v>
          </cell>
          <cell r="B54" t="str">
            <v>Merchandise</v>
          </cell>
          <cell r="C54">
            <v>0</v>
          </cell>
          <cell r="D54">
            <v>0</v>
          </cell>
          <cell r="E54">
            <v>383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200609</v>
          </cell>
          <cell r="B55" t="str">
            <v>Chronicles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5750.88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200610</v>
          </cell>
          <cell r="C56">
            <v>3744.13</v>
          </cell>
          <cell r="D56">
            <v>360</v>
          </cell>
          <cell r="E56">
            <v>0</v>
          </cell>
          <cell r="F56">
            <v>0</v>
          </cell>
          <cell r="G56">
            <v>0</v>
          </cell>
          <cell r="H56">
            <v>37677.4</v>
          </cell>
          <cell r="I56">
            <v>0</v>
          </cell>
          <cell r="J56">
            <v>0</v>
          </cell>
          <cell r="K56">
            <v>22918.639999999999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200610</v>
          </cell>
          <cell r="B57" t="str">
            <v>Real Estate</v>
          </cell>
          <cell r="C57">
            <v>0</v>
          </cell>
          <cell r="D57">
            <v>0</v>
          </cell>
          <cell r="E57">
            <v>678</v>
          </cell>
          <cell r="F57">
            <v>132</v>
          </cell>
          <cell r="G57">
            <v>35962.1</v>
          </cell>
          <cell r="H57">
            <v>0</v>
          </cell>
          <cell r="I57">
            <v>6275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>
            <v>200610</v>
          </cell>
          <cell r="B58" t="str">
            <v>Automotive</v>
          </cell>
          <cell r="C58">
            <v>0</v>
          </cell>
          <cell r="D58">
            <v>0</v>
          </cell>
          <cell r="E58">
            <v>312</v>
          </cell>
          <cell r="F58">
            <v>0</v>
          </cell>
          <cell r="G58">
            <v>0</v>
          </cell>
          <cell r="H58">
            <v>0</v>
          </cell>
          <cell r="I58">
            <v>1518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>
            <v>200610</v>
          </cell>
          <cell r="B59" t="str">
            <v>Help Wanted</v>
          </cell>
          <cell r="C59">
            <v>0</v>
          </cell>
          <cell r="D59">
            <v>0</v>
          </cell>
          <cell r="E59">
            <v>126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A60">
            <v>200610</v>
          </cell>
          <cell r="B60" t="str">
            <v>Merchandise</v>
          </cell>
          <cell r="C60">
            <v>0</v>
          </cell>
          <cell r="D60">
            <v>0</v>
          </cell>
          <cell r="E60">
            <v>445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>
            <v>200610</v>
          </cell>
          <cell r="B61" t="str">
            <v>Chronicles</v>
          </cell>
          <cell r="C61">
            <v>0</v>
          </cell>
          <cell r="D61">
            <v>0</v>
          </cell>
          <cell r="E61">
            <v>17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4241.93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A62">
            <v>200611</v>
          </cell>
          <cell r="C62">
            <v>4014.63</v>
          </cell>
          <cell r="D62">
            <v>180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19726.939999999999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>
            <v>200611</v>
          </cell>
          <cell r="B63" t="str">
            <v>Real Estate</v>
          </cell>
          <cell r="C63">
            <v>0</v>
          </cell>
          <cell r="D63">
            <v>0</v>
          </cell>
          <cell r="E63">
            <v>606</v>
          </cell>
          <cell r="F63">
            <v>0</v>
          </cell>
          <cell r="G63">
            <v>36644.550000000003</v>
          </cell>
          <cell r="H63">
            <v>0</v>
          </cell>
          <cell r="I63">
            <v>-575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A64">
            <v>200611</v>
          </cell>
          <cell r="B64" t="str">
            <v>Automotive</v>
          </cell>
          <cell r="C64">
            <v>0</v>
          </cell>
          <cell r="D64">
            <v>0</v>
          </cell>
          <cell r="E64">
            <v>260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A65">
            <v>200611</v>
          </cell>
          <cell r="B65" t="str">
            <v>Help Wanted</v>
          </cell>
          <cell r="C65">
            <v>0</v>
          </cell>
          <cell r="D65">
            <v>0</v>
          </cell>
          <cell r="E65">
            <v>317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A66">
            <v>200611</v>
          </cell>
          <cell r="B66" t="str">
            <v>Merchandise</v>
          </cell>
          <cell r="C66">
            <v>0</v>
          </cell>
          <cell r="D66">
            <v>0</v>
          </cell>
          <cell r="E66">
            <v>431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200611</v>
          </cell>
          <cell r="B67" t="str">
            <v>Chronicles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4765.4799999999996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A68">
            <v>200612</v>
          </cell>
          <cell r="C68">
            <v>4404.88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-1680</v>
          </cell>
          <cell r="I68">
            <v>0</v>
          </cell>
          <cell r="J68">
            <v>0</v>
          </cell>
          <cell r="K68">
            <v>22003.35</v>
          </cell>
          <cell r="L68">
            <v>20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200612</v>
          </cell>
          <cell r="B69" t="str">
            <v>Real Estate</v>
          </cell>
          <cell r="C69">
            <v>0</v>
          </cell>
          <cell r="D69">
            <v>0</v>
          </cell>
          <cell r="E69">
            <v>610</v>
          </cell>
          <cell r="F69">
            <v>0</v>
          </cell>
          <cell r="G69">
            <v>37324.32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5297.5</v>
          </cell>
          <cell r="V69">
            <v>0</v>
          </cell>
        </row>
        <row r="70">
          <cell r="A70">
            <v>200612</v>
          </cell>
          <cell r="B70" t="str">
            <v>Automotive</v>
          </cell>
          <cell r="C70">
            <v>0</v>
          </cell>
          <cell r="D70">
            <v>0</v>
          </cell>
          <cell r="E70">
            <v>388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200612</v>
          </cell>
          <cell r="B71" t="str">
            <v>Help Wanted</v>
          </cell>
          <cell r="C71">
            <v>0</v>
          </cell>
          <cell r="D71">
            <v>0</v>
          </cell>
          <cell r="E71">
            <v>112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200612</v>
          </cell>
          <cell r="B72" t="str">
            <v>Merchandise</v>
          </cell>
          <cell r="C72">
            <v>0</v>
          </cell>
          <cell r="D72">
            <v>0</v>
          </cell>
          <cell r="E72">
            <v>513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>
            <v>200612</v>
          </cell>
          <cell r="B73" t="str">
            <v>Chronicles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5451.54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200613</v>
          </cell>
          <cell r="C74">
            <v>3929.88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17604.77</v>
          </cell>
          <cell r="L74">
            <v>-1031.02</v>
          </cell>
          <cell r="M74">
            <v>0</v>
          </cell>
          <cell r="N74">
            <v>29826.97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200613</v>
          </cell>
          <cell r="B75" t="str">
            <v>Real Estate</v>
          </cell>
          <cell r="C75">
            <v>0</v>
          </cell>
          <cell r="D75">
            <v>0</v>
          </cell>
          <cell r="E75">
            <v>589</v>
          </cell>
          <cell r="F75">
            <v>0</v>
          </cell>
          <cell r="G75">
            <v>38196.46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312.48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200613</v>
          </cell>
          <cell r="B76" t="str">
            <v>Automotive</v>
          </cell>
          <cell r="C76">
            <v>0</v>
          </cell>
          <cell r="D76">
            <v>0</v>
          </cell>
          <cell r="E76">
            <v>354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200613</v>
          </cell>
          <cell r="B77" t="str">
            <v>Help Wanted</v>
          </cell>
          <cell r="C77">
            <v>0</v>
          </cell>
          <cell r="D77">
            <v>0</v>
          </cell>
          <cell r="E77">
            <v>139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>
            <v>200613</v>
          </cell>
          <cell r="B78" t="str">
            <v>Merchandise</v>
          </cell>
          <cell r="C78">
            <v>0</v>
          </cell>
          <cell r="D78">
            <v>0</v>
          </cell>
          <cell r="E78">
            <v>521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A79">
            <v>200613</v>
          </cell>
          <cell r="B79" t="str">
            <v>Chronicles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4747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>
            <v>200614</v>
          </cell>
          <cell r="C80">
            <v>3313.13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43006</v>
          </cell>
          <cell r="I80">
            <v>0</v>
          </cell>
          <cell r="J80">
            <v>0</v>
          </cell>
          <cell r="K80">
            <v>29728.94</v>
          </cell>
          <cell r="L80">
            <v>30</v>
          </cell>
          <cell r="M80">
            <v>0</v>
          </cell>
          <cell r="N80">
            <v>16661.990000000002</v>
          </cell>
          <cell r="O80">
            <v>0</v>
          </cell>
          <cell r="P80">
            <v>600.24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>
            <v>200614</v>
          </cell>
          <cell r="B81" t="str">
            <v>Real Estate</v>
          </cell>
          <cell r="C81">
            <v>0</v>
          </cell>
          <cell r="D81">
            <v>0</v>
          </cell>
          <cell r="E81">
            <v>687</v>
          </cell>
          <cell r="F81">
            <v>0</v>
          </cell>
          <cell r="G81">
            <v>43431.13</v>
          </cell>
          <cell r="H81">
            <v>0</v>
          </cell>
          <cell r="I81">
            <v>4478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2177.77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A82">
            <v>200614</v>
          </cell>
          <cell r="B82" t="str">
            <v>Automotive</v>
          </cell>
          <cell r="C82">
            <v>0</v>
          </cell>
          <cell r="D82">
            <v>0</v>
          </cell>
          <cell r="E82">
            <v>398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200614</v>
          </cell>
          <cell r="B83" t="str">
            <v>Help Wanted</v>
          </cell>
          <cell r="C83">
            <v>0</v>
          </cell>
          <cell r="D83">
            <v>0</v>
          </cell>
          <cell r="E83">
            <v>131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>
            <v>200614</v>
          </cell>
          <cell r="B84" t="str">
            <v>Merchandise</v>
          </cell>
          <cell r="C84">
            <v>0</v>
          </cell>
          <cell r="D84">
            <v>0</v>
          </cell>
          <cell r="E84">
            <v>557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>
            <v>200614</v>
          </cell>
          <cell r="B85" t="str">
            <v>Chronicles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4237.6099999999997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>
            <v>200615</v>
          </cell>
          <cell r="C86">
            <v>3283.63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24618.25</v>
          </cell>
          <cell r="L86">
            <v>0</v>
          </cell>
          <cell r="M86">
            <v>0</v>
          </cell>
          <cell r="N86">
            <v>20449.3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>
            <v>200615</v>
          </cell>
          <cell r="B87" t="str">
            <v>Real Estate</v>
          </cell>
          <cell r="C87">
            <v>0</v>
          </cell>
          <cell r="D87">
            <v>0</v>
          </cell>
          <cell r="E87">
            <v>603</v>
          </cell>
          <cell r="F87">
            <v>0</v>
          </cell>
          <cell r="G87">
            <v>36291.129999999997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>
            <v>200615</v>
          </cell>
          <cell r="B88" t="str">
            <v>Automotive</v>
          </cell>
          <cell r="C88">
            <v>0</v>
          </cell>
          <cell r="D88">
            <v>0</v>
          </cell>
          <cell r="E88">
            <v>530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>
            <v>200615</v>
          </cell>
          <cell r="B89" t="str">
            <v>Help Wanted</v>
          </cell>
          <cell r="C89">
            <v>0</v>
          </cell>
          <cell r="D89">
            <v>0</v>
          </cell>
          <cell r="E89">
            <v>336.86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>
            <v>200615</v>
          </cell>
          <cell r="B90" t="str">
            <v>Merchandise</v>
          </cell>
          <cell r="C90">
            <v>0</v>
          </cell>
          <cell r="D90">
            <v>0</v>
          </cell>
          <cell r="E90">
            <v>577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>
            <v>200615</v>
          </cell>
          <cell r="B91" t="str">
            <v>Chronicles</v>
          </cell>
          <cell r="C91">
            <v>0</v>
          </cell>
          <cell r="D91">
            <v>0</v>
          </cell>
          <cell r="E91">
            <v>17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4632.6000000000004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>
            <v>200616</v>
          </cell>
          <cell r="C92">
            <v>3877.69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-355</v>
          </cell>
          <cell r="I92">
            <v>0</v>
          </cell>
          <cell r="J92">
            <v>0</v>
          </cell>
          <cell r="K92">
            <v>16360.92</v>
          </cell>
          <cell r="L92">
            <v>0</v>
          </cell>
          <cell r="M92">
            <v>0</v>
          </cell>
          <cell r="N92">
            <v>19580.53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>
            <v>200616</v>
          </cell>
          <cell r="B93" t="str">
            <v>Real Estate</v>
          </cell>
          <cell r="C93">
            <v>0</v>
          </cell>
          <cell r="D93">
            <v>0</v>
          </cell>
          <cell r="E93">
            <v>640</v>
          </cell>
          <cell r="F93">
            <v>0</v>
          </cell>
          <cell r="G93">
            <v>36092.5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6150.5</v>
          </cell>
          <cell r="V93">
            <v>0</v>
          </cell>
        </row>
        <row r="94">
          <cell r="A94">
            <v>200616</v>
          </cell>
          <cell r="B94" t="str">
            <v>Automotive</v>
          </cell>
          <cell r="C94">
            <v>0</v>
          </cell>
          <cell r="D94">
            <v>0</v>
          </cell>
          <cell r="E94">
            <v>543</v>
          </cell>
          <cell r="F94">
            <v>375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200616</v>
          </cell>
          <cell r="B95" t="str">
            <v>Help Wanted</v>
          </cell>
          <cell r="C95">
            <v>0</v>
          </cell>
          <cell r="D95">
            <v>0</v>
          </cell>
          <cell r="E95">
            <v>296.3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>
            <v>200616</v>
          </cell>
          <cell r="B96" t="str">
            <v>Merchandise</v>
          </cell>
          <cell r="C96">
            <v>0</v>
          </cell>
          <cell r="D96">
            <v>0</v>
          </cell>
          <cell r="E96">
            <v>861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200616</v>
          </cell>
          <cell r="B97" t="str">
            <v>Chronicles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3484.6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A98">
            <v>200617</v>
          </cell>
          <cell r="C98">
            <v>2153.19</v>
          </cell>
          <cell r="D98">
            <v>150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16992.52</v>
          </cell>
          <cell r="L98">
            <v>0</v>
          </cell>
          <cell r="M98">
            <v>0</v>
          </cell>
          <cell r="N98">
            <v>25792.240000000002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>
            <v>200617</v>
          </cell>
          <cell r="B99" t="str">
            <v>Real Estate</v>
          </cell>
          <cell r="C99">
            <v>0</v>
          </cell>
          <cell r="D99">
            <v>0</v>
          </cell>
          <cell r="E99">
            <v>400</v>
          </cell>
          <cell r="F99">
            <v>0</v>
          </cell>
          <cell r="G99">
            <v>37510.29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>
            <v>200617</v>
          </cell>
          <cell r="B100" t="str">
            <v>Automotive</v>
          </cell>
          <cell r="C100">
            <v>0</v>
          </cell>
          <cell r="D100">
            <v>0</v>
          </cell>
          <cell r="E100">
            <v>400</v>
          </cell>
          <cell r="F100">
            <v>275.5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>
            <v>200617</v>
          </cell>
          <cell r="B101" t="str">
            <v>Help Wanted</v>
          </cell>
          <cell r="C101">
            <v>0</v>
          </cell>
          <cell r="D101">
            <v>0</v>
          </cell>
          <cell r="E101">
            <v>25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>
            <v>200617</v>
          </cell>
          <cell r="B102" t="str">
            <v>Merchandise</v>
          </cell>
          <cell r="C102">
            <v>0</v>
          </cell>
          <cell r="D102">
            <v>0</v>
          </cell>
          <cell r="E102">
            <v>429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>
            <v>200617</v>
          </cell>
          <cell r="B103" t="str">
            <v>Chronicles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3119.55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>
            <v>200618</v>
          </cell>
          <cell r="C104">
            <v>2630.19</v>
          </cell>
          <cell r="D104">
            <v>180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19799.23</v>
          </cell>
          <cell r="L104">
            <v>0</v>
          </cell>
          <cell r="M104">
            <v>0</v>
          </cell>
          <cell r="N104">
            <v>22579.54</v>
          </cell>
          <cell r="O104">
            <v>0</v>
          </cell>
          <cell r="P104">
            <v>926.8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>
            <v>200618</v>
          </cell>
          <cell r="B105" t="str">
            <v>Real Estate</v>
          </cell>
          <cell r="C105">
            <v>0</v>
          </cell>
          <cell r="D105">
            <v>0</v>
          </cell>
          <cell r="E105">
            <v>542</v>
          </cell>
          <cell r="F105">
            <v>0</v>
          </cell>
          <cell r="G105">
            <v>38439.760000000002</v>
          </cell>
          <cell r="H105">
            <v>0</v>
          </cell>
          <cell r="I105">
            <v>-575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>
            <v>200618</v>
          </cell>
          <cell r="B106" t="str">
            <v>Automotive</v>
          </cell>
          <cell r="C106">
            <v>0</v>
          </cell>
          <cell r="D106">
            <v>0</v>
          </cell>
          <cell r="E106">
            <v>514</v>
          </cell>
          <cell r="F106">
            <v>30.5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A107">
            <v>200618</v>
          </cell>
          <cell r="B107" t="str">
            <v>Help Wanted</v>
          </cell>
          <cell r="C107">
            <v>0</v>
          </cell>
          <cell r="D107">
            <v>0</v>
          </cell>
          <cell r="E107">
            <v>86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A108">
            <v>200618</v>
          </cell>
          <cell r="B108" t="str">
            <v>Merchandise</v>
          </cell>
          <cell r="C108">
            <v>0</v>
          </cell>
          <cell r="D108">
            <v>0</v>
          </cell>
          <cell r="E108">
            <v>496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A109">
            <v>200618</v>
          </cell>
          <cell r="B109" t="str">
            <v>Chronicles</v>
          </cell>
          <cell r="C109">
            <v>0</v>
          </cell>
          <cell r="D109">
            <v>0</v>
          </cell>
          <cell r="E109">
            <v>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4031.64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A110">
            <v>200619</v>
          </cell>
          <cell r="C110">
            <v>2688.5</v>
          </cell>
          <cell r="D110">
            <v>330</v>
          </cell>
          <cell r="E110">
            <v>0</v>
          </cell>
          <cell r="F110">
            <v>0</v>
          </cell>
          <cell r="G110">
            <v>0</v>
          </cell>
          <cell r="H110">
            <v>37420.39</v>
          </cell>
          <cell r="I110">
            <v>0</v>
          </cell>
          <cell r="J110">
            <v>0</v>
          </cell>
          <cell r="K110">
            <v>23528.87</v>
          </cell>
          <cell r="L110">
            <v>191.63</v>
          </cell>
          <cell r="M110">
            <v>0</v>
          </cell>
          <cell r="N110">
            <v>22555.73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>
            <v>200619</v>
          </cell>
          <cell r="B111" t="str">
            <v>Real Estate</v>
          </cell>
          <cell r="C111">
            <v>0</v>
          </cell>
          <cell r="D111">
            <v>0</v>
          </cell>
          <cell r="E111">
            <v>590</v>
          </cell>
          <cell r="F111">
            <v>22</v>
          </cell>
          <cell r="G111">
            <v>38549.65</v>
          </cell>
          <cell r="H111">
            <v>0</v>
          </cell>
          <cell r="I111">
            <v>7918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200619</v>
          </cell>
          <cell r="B112" t="str">
            <v>Automotive</v>
          </cell>
          <cell r="C112">
            <v>0</v>
          </cell>
          <cell r="D112">
            <v>0</v>
          </cell>
          <cell r="E112">
            <v>583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A113">
            <v>200619</v>
          </cell>
          <cell r="B113" t="str">
            <v>Help Wanted</v>
          </cell>
          <cell r="C113">
            <v>0</v>
          </cell>
          <cell r="D113">
            <v>0</v>
          </cell>
          <cell r="E113">
            <v>164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A114">
            <v>200619</v>
          </cell>
          <cell r="B114" t="str">
            <v>Merchandise</v>
          </cell>
          <cell r="C114">
            <v>0</v>
          </cell>
          <cell r="D114">
            <v>0</v>
          </cell>
          <cell r="E114">
            <v>381</v>
          </cell>
          <cell r="F114">
            <v>0</v>
          </cell>
          <cell r="G114">
            <v>0</v>
          </cell>
          <cell r="H114">
            <v>0</v>
          </cell>
          <cell r="I114">
            <v>192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A115">
            <v>200619</v>
          </cell>
          <cell r="B115" t="str">
            <v>Chronicles</v>
          </cell>
          <cell r="C115">
            <v>0</v>
          </cell>
          <cell r="D115">
            <v>0</v>
          </cell>
          <cell r="E115">
            <v>15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4470.45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>
            <v>200620</v>
          </cell>
          <cell r="C116">
            <v>2482.75</v>
          </cell>
          <cell r="D116">
            <v>340</v>
          </cell>
          <cell r="E116">
            <v>0</v>
          </cell>
          <cell r="F116">
            <v>0</v>
          </cell>
          <cell r="G116">
            <v>0</v>
          </cell>
          <cell r="H116">
            <v>-230</v>
          </cell>
          <cell r="I116">
            <v>0</v>
          </cell>
          <cell r="J116">
            <v>0</v>
          </cell>
          <cell r="K116">
            <v>21517.23</v>
          </cell>
          <cell r="L116">
            <v>60</v>
          </cell>
          <cell r="M116">
            <v>0</v>
          </cell>
          <cell r="N116">
            <v>22128.32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>
            <v>200620</v>
          </cell>
          <cell r="B117" t="str">
            <v>Real Estate</v>
          </cell>
          <cell r="C117">
            <v>0</v>
          </cell>
          <cell r="D117">
            <v>0</v>
          </cell>
          <cell r="E117">
            <v>604</v>
          </cell>
          <cell r="F117">
            <v>0</v>
          </cell>
          <cell r="G117">
            <v>38101.78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5879.5</v>
          </cell>
          <cell r="V117">
            <v>0</v>
          </cell>
        </row>
        <row r="118">
          <cell r="A118">
            <v>200620</v>
          </cell>
          <cell r="B118" t="str">
            <v>Automotive</v>
          </cell>
          <cell r="C118">
            <v>0</v>
          </cell>
          <cell r="D118">
            <v>0</v>
          </cell>
          <cell r="E118">
            <v>508</v>
          </cell>
          <cell r="F118">
            <v>140.5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A119">
            <v>200620</v>
          </cell>
          <cell r="B119" t="str">
            <v>Help Wanted</v>
          </cell>
          <cell r="C119">
            <v>0</v>
          </cell>
          <cell r="D119">
            <v>0</v>
          </cell>
          <cell r="E119">
            <v>91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>
            <v>200620</v>
          </cell>
          <cell r="B120" t="str">
            <v>Merchandise</v>
          </cell>
          <cell r="C120">
            <v>0</v>
          </cell>
          <cell r="D120">
            <v>0</v>
          </cell>
          <cell r="E120">
            <v>455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>
            <v>200620</v>
          </cell>
          <cell r="B121" t="str">
            <v>Chronicles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5106.96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A122">
            <v>200621</v>
          </cell>
          <cell r="C122">
            <v>3064.25</v>
          </cell>
          <cell r="D122">
            <v>-193</v>
          </cell>
          <cell r="E122">
            <v>0</v>
          </cell>
          <cell r="F122">
            <v>0</v>
          </cell>
          <cell r="G122">
            <v>0</v>
          </cell>
          <cell r="H122">
            <v>-200</v>
          </cell>
          <cell r="I122">
            <v>0</v>
          </cell>
          <cell r="J122">
            <v>0</v>
          </cell>
          <cell r="K122">
            <v>19144.89</v>
          </cell>
          <cell r="L122">
            <v>0</v>
          </cell>
          <cell r="M122">
            <v>0</v>
          </cell>
          <cell r="N122">
            <v>20745.66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A123">
            <v>200621</v>
          </cell>
          <cell r="B123" t="str">
            <v>Real Estate</v>
          </cell>
          <cell r="C123">
            <v>0</v>
          </cell>
          <cell r="D123">
            <v>0</v>
          </cell>
          <cell r="E123">
            <v>591</v>
          </cell>
          <cell r="F123">
            <v>0</v>
          </cell>
          <cell r="G123">
            <v>37179.57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A124">
            <v>200621</v>
          </cell>
          <cell r="B124" t="str">
            <v>Automotive</v>
          </cell>
          <cell r="C124">
            <v>0</v>
          </cell>
          <cell r="D124">
            <v>0</v>
          </cell>
          <cell r="E124">
            <v>401</v>
          </cell>
          <cell r="F124">
            <v>250.5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>
            <v>200621</v>
          </cell>
          <cell r="B125" t="str">
            <v>Help Wanted</v>
          </cell>
          <cell r="C125">
            <v>0</v>
          </cell>
          <cell r="D125">
            <v>0</v>
          </cell>
          <cell r="E125">
            <v>33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A126">
            <v>200621</v>
          </cell>
          <cell r="B126" t="str">
            <v>Merchandise</v>
          </cell>
          <cell r="C126">
            <v>0</v>
          </cell>
          <cell r="D126">
            <v>0</v>
          </cell>
          <cell r="E126">
            <v>486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A127">
            <v>200621</v>
          </cell>
          <cell r="B127" t="str">
            <v>Chronicles</v>
          </cell>
          <cell r="C127">
            <v>0</v>
          </cell>
          <cell r="D127">
            <v>0</v>
          </cell>
          <cell r="E127">
            <v>15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4425.34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A128">
            <v>200622</v>
          </cell>
          <cell r="C128">
            <v>3686.5</v>
          </cell>
          <cell r="D128">
            <v>131</v>
          </cell>
          <cell r="E128">
            <v>0</v>
          </cell>
          <cell r="F128">
            <v>0</v>
          </cell>
          <cell r="G128">
            <v>0</v>
          </cell>
          <cell r="H128">
            <v>-1118.1600000000001</v>
          </cell>
          <cell r="I128">
            <v>0</v>
          </cell>
          <cell r="J128">
            <v>0</v>
          </cell>
          <cell r="K128">
            <v>19191.669999999998</v>
          </cell>
          <cell r="L128">
            <v>1051.8800000000001</v>
          </cell>
          <cell r="M128">
            <v>0</v>
          </cell>
          <cell r="N128">
            <v>16376.06</v>
          </cell>
          <cell r="O128">
            <v>0</v>
          </cell>
          <cell r="P128">
            <v>925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A129">
            <v>200622</v>
          </cell>
          <cell r="B129" t="str">
            <v>Real Estate</v>
          </cell>
          <cell r="C129">
            <v>0</v>
          </cell>
          <cell r="D129">
            <v>0</v>
          </cell>
          <cell r="E129">
            <v>583</v>
          </cell>
          <cell r="F129">
            <v>0</v>
          </cell>
          <cell r="G129">
            <v>31511.08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A130">
            <v>200622</v>
          </cell>
          <cell r="B130" t="str">
            <v>Automotive</v>
          </cell>
          <cell r="C130">
            <v>0</v>
          </cell>
          <cell r="D130">
            <v>0</v>
          </cell>
          <cell r="E130">
            <v>475</v>
          </cell>
          <cell r="F130">
            <v>338.5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A131">
            <v>200622</v>
          </cell>
          <cell r="B131" t="str">
            <v>Help Wanted</v>
          </cell>
          <cell r="C131">
            <v>0</v>
          </cell>
          <cell r="D131">
            <v>0</v>
          </cell>
          <cell r="E131">
            <v>192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A132">
            <v>200622</v>
          </cell>
          <cell r="B132" t="str">
            <v>Merchandise</v>
          </cell>
          <cell r="C132">
            <v>0</v>
          </cell>
          <cell r="D132">
            <v>0</v>
          </cell>
          <cell r="E132">
            <v>436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A133">
            <v>200622</v>
          </cell>
          <cell r="B133" t="str">
            <v>Chronicles</v>
          </cell>
          <cell r="C133">
            <v>0</v>
          </cell>
          <cell r="D133">
            <v>0</v>
          </cell>
          <cell r="E133">
            <v>112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3811.35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A134">
            <v>200623</v>
          </cell>
          <cell r="C134">
            <v>2865.69</v>
          </cell>
          <cell r="D134">
            <v>131</v>
          </cell>
          <cell r="E134">
            <v>0</v>
          </cell>
          <cell r="F134">
            <v>0</v>
          </cell>
          <cell r="G134">
            <v>0</v>
          </cell>
          <cell r="H134">
            <v>39511.4</v>
          </cell>
          <cell r="I134">
            <v>0</v>
          </cell>
          <cell r="J134">
            <v>0</v>
          </cell>
          <cell r="K134">
            <v>24095.23</v>
          </cell>
          <cell r="L134">
            <v>0</v>
          </cell>
          <cell r="M134">
            <v>0</v>
          </cell>
          <cell r="N134">
            <v>30325.68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A135">
            <v>200623</v>
          </cell>
          <cell r="B135" t="str">
            <v>Real Estate</v>
          </cell>
          <cell r="C135">
            <v>0</v>
          </cell>
          <cell r="D135">
            <v>0</v>
          </cell>
          <cell r="E135">
            <v>755</v>
          </cell>
          <cell r="F135">
            <v>0</v>
          </cell>
          <cell r="G135">
            <v>35454.589999999997</v>
          </cell>
          <cell r="H135">
            <v>0</v>
          </cell>
          <cell r="I135">
            <v>8455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2058.2399999999998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A136">
            <v>200623</v>
          </cell>
          <cell r="B136" t="str">
            <v>Automotive</v>
          </cell>
          <cell r="C136">
            <v>0</v>
          </cell>
          <cell r="D136">
            <v>0</v>
          </cell>
          <cell r="E136">
            <v>429</v>
          </cell>
          <cell r="F136">
            <v>195.5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A137">
            <v>200623</v>
          </cell>
          <cell r="B137" t="str">
            <v>Help Wanted</v>
          </cell>
          <cell r="C137">
            <v>0</v>
          </cell>
          <cell r="D137">
            <v>0</v>
          </cell>
          <cell r="E137">
            <v>89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A138">
            <v>200623</v>
          </cell>
          <cell r="B138" t="str">
            <v>Merchandise</v>
          </cell>
          <cell r="C138">
            <v>0</v>
          </cell>
          <cell r="D138">
            <v>0</v>
          </cell>
          <cell r="E138">
            <v>446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>
            <v>200623</v>
          </cell>
          <cell r="B139" t="str">
            <v>Chronicles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3169.37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A140">
            <v>200624</v>
          </cell>
          <cell r="C140">
            <v>3545.69</v>
          </cell>
          <cell r="D140">
            <v>66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21186.63</v>
          </cell>
          <cell r="L140">
            <v>255</v>
          </cell>
          <cell r="M140">
            <v>0</v>
          </cell>
          <cell r="N140">
            <v>16680.47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A141">
            <v>200624</v>
          </cell>
          <cell r="B141" t="str">
            <v>Real Estate</v>
          </cell>
          <cell r="C141">
            <v>0</v>
          </cell>
          <cell r="D141">
            <v>0</v>
          </cell>
          <cell r="E141">
            <v>462</v>
          </cell>
          <cell r="F141">
            <v>0</v>
          </cell>
          <cell r="G141">
            <v>38356.910000000003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5477</v>
          </cell>
          <cell r="V141">
            <v>0</v>
          </cell>
        </row>
        <row r="142">
          <cell r="A142">
            <v>200624</v>
          </cell>
          <cell r="B142" t="str">
            <v>Automotive</v>
          </cell>
          <cell r="C142">
            <v>0</v>
          </cell>
          <cell r="D142">
            <v>0</v>
          </cell>
          <cell r="E142">
            <v>378</v>
          </cell>
          <cell r="F142">
            <v>370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A143">
            <v>200624</v>
          </cell>
          <cell r="B143" t="str">
            <v>Help Wanted</v>
          </cell>
          <cell r="C143">
            <v>0</v>
          </cell>
          <cell r="D143">
            <v>0</v>
          </cell>
          <cell r="E143">
            <v>120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A144">
            <v>200624</v>
          </cell>
          <cell r="B144" t="str">
            <v>Merchandise</v>
          </cell>
          <cell r="C144">
            <v>0</v>
          </cell>
          <cell r="D144">
            <v>0</v>
          </cell>
          <cell r="E144">
            <v>360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>
            <v>200624</v>
          </cell>
          <cell r="B145" t="str">
            <v>Chronicles</v>
          </cell>
          <cell r="C145">
            <v>0</v>
          </cell>
          <cell r="D145">
            <v>0</v>
          </cell>
          <cell r="E145">
            <v>19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3499.16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A146">
            <v>200625</v>
          </cell>
          <cell r="C146">
            <v>3113.25</v>
          </cell>
          <cell r="D146">
            <v>-130</v>
          </cell>
          <cell r="E146">
            <v>0</v>
          </cell>
          <cell r="F146">
            <v>0</v>
          </cell>
          <cell r="G146">
            <v>0</v>
          </cell>
          <cell r="H146">
            <v>-4275</v>
          </cell>
          <cell r="I146">
            <v>0</v>
          </cell>
          <cell r="J146">
            <v>0</v>
          </cell>
          <cell r="K146">
            <v>23184.84</v>
          </cell>
          <cell r="L146">
            <v>0</v>
          </cell>
          <cell r="M146">
            <v>0</v>
          </cell>
          <cell r="N146">
            <v>26775.85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A147">
            <v>200625</v>
          </cell>
          <cell r="B147" t="str">
            <v>Real Estate</v>
          </cell>
          <cell r="C147">
            <v>0</v>
          </cell>
          <cell r="D147">
            <v>0</v>
          </cell>
          <cell r="E147">
            <v>572</v>
          </cell>
          <cell r="F147">
            <v>0</v>
          </cell>
          <cell r="G147">
            <v>40243.160000000003</v>
          </cell>
          <cell r="H147">
            <v>0</v>
          </cell>
          <cell r="I147">
            <v>-805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A148">
            <v>200625</v>
          </cell>
          <cell r="B148" t="str">
            <v>Automotive</v>
          </cell>
          <cell r="C148">
            <v>0</v>
          </cell>
          <cell r="D148">
            <v>0</v>
          </cell>
          <cell r="E148">
            <v>446</v>
          </cell>
          <cell r="F148">
            <v>282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A149">
            <v>200625</v>
          </cell>
          <cell r="B149" t="str">
            <v>Help Wanted</v>
          </cell>
          <cell r="C149">
            <v>0</v>
          </cell>
          <cell r="D149">
            <v>0</v>
          </cell>
          <cell r="E149">
            <v>138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>
            <v>200625</v>
          </cell>
          <cell r="B150" t="str">
            <v>Merchandise</v>
          </cell>
          <cell r="C150">
            <v>0</v>
          </cell>
          <cell r="D150">
            <v>0</v>
          </cell>
          <cell r="E150">
            <v>442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A151">
            <v>200625</v>
          </cell>
          <cell r="B151" t="str">
            <v>Chronicles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3685.61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A152">
            <v>200626</v>
          </cell>
          <cell r="C152">
            <v>4609.5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17223.330000000002</v>
          </cell>
          <cell r="L152">
            <v>0</v>
          </cell>
          <cell r="M152">
            <v>0</v>
          </cell>
          <cell r="N152">
            <v>22143.86</v>
          </cell>
          <cell r="O152">
            <v>0</v>
          </cell>
          <cell r="P152">
            <v>2575.16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A153">
            <v>200626</v>
          </cell>
          <cell r="B153" t="str">
            <v>Real Estate</v>
          </cell>
          <cell r="C153">
            <v>0</v>
          </cell>
          <cell r="D153">
            <v>0</v>
          </cell>
          <cell r="E153">
            <v>560</v>
          </cell>
          <cell r="F153">
            <v>0</v>
          </cell>
          <cell r="G153">
            <v>41935.910000000003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A154">
            <v>200626</v>
          </cell>
          <cell r="B154" t="str">
            <v>Automotive</v>
          </cell>
          <cell r="C154">
            <v>0</v>
          </cell>
          <cell r="D154">
            <v>0</v>
          </cell>
          <cell r="E154">
            <v>423</v>
          </cell>
          <cell r="F154">
            <v>425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A155">
            <v>200626</v>
          </cell>
          <cell r="B155" t="str">
            <v>Help Wanted</v>
          </cell>
          <cell r="C155">
            <v>0</v>
          </cell>
          <cell r="D155">
            <v>0</v>
          </cell>
          <cell r="E155">
            <v>67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A156">
            <v>200626</v>
          </cell>
          <cell r="B156" t="str">
            <v>Merchandise</v>
          </cell>
          <cell r="C156">
            <v>0</v>
          </cell>
          <cell r="D156">
            <v>0</v>
          </cell>
          <cell r="E156">
            <v>458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A157">
            <v>200626</v>
          </cell>
          <cell r="B157" t="str">
            <v>Chronicles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3126.24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>
            <v>200627</v>
          </cell>
          <cell r="C158">
            <v>3763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31181.4</v>
          </cell>
          <cell r="I158">
            <v>0</v>
          </cell>
          <cell r="J158">
            <v>0</v>
          </cell>
          <cell r="K158">
            <v>19886.55</v>
          </cell>
          <cell r="L158">
            <v>0</v>
          </cell>
          <cell r="M158">
            <v>0</v>
          </cell>
          <cell r="N158">
            <v>10309.549999999999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A159">
            <v>200627</v>
          </cell>
          <cell r="B159" t="str">
            <v>Real Estate</v>
          </cell>
          <cell r="C159">
            <v>0</v>
          </cell>
          <cell r="D159">
            <v>0</v>
          </cell>
          <cell r="E159">
            <v>546</v>
          </cell>
          <cell r="F159">
            <v>0</v>
          </cell>
          <cell r="G159">
            <v>42226.37</v>
          </cell>
          <cell r="H159">
            <v>0</v>
          </cell>
          <cell r="I159">
            <v>7383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0">
          <cell r="A160">
            <v>200627</v>
          </cell>
          <cell r="B160" t="str">
            <v>Automotive</v>
          </cell>
          <cell r="C160">
            <v>0</v>
          </cell>
          <cell r="D160">
            <v>0</v>
          </cell>
          <cell r="E160">
            <v>388</v>
          </cell>
          <cell r="F160">
            <v>260</v>
          </cell>
          <cell r="G160">
            <v>0</v>
          </cell>
          <cell r="H160">
            <v>0</v>
          </cell>
          <cell r="I160">
            <v>192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A161">
            <v>200627</v>
          </cell>
          <cell r="B161" t="str">
            <v>Help Wanted</v>
          </cell>
          <cell r="C161">
            <v>0</v>
          </cell>
          <cell r="D161">
            <v>0</v>
          </cell>
          <cell r="E161">
            <v>163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  <row r="162">
          <cell r="A162">
            <v>200627</v>
          </cell>
          <cell r="B162" t="str">
            <v>Merchandise</v>
          </cell>
          <cell r="C162">
            <v>0</v>
          </cell>
          <cell r="D162">
            <v>0</v>
          </cell>
          <cell r="E162">
            <v>475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A163">
            <v>200627</v>
          </cell>
          <cell r="B163" t="str">
            <v>Chronicles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3574.54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A164">
            <v>200628</v>
          </cell>
          <cell r="C164">
            <v>5176.25</v>
          </cell>
          <cell r="D164">
            <v>88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24365.88</v>
          </cell>
          <cell r="L164">
            <v>0</v>
          </cell>
          <cell r="M164">
            <v>0</v>
          </cell>
          <cell r="N164">
            <v>8552.82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A165">
            <v>200628</v>
          </cell>
          <cell r="B165" t="str">
            <v>Real Estate</v>
          </cell>
          <cell r="C165">
            <v>0</v>
          </cell>
          <cell r="D165">
            <v>0</v>
          </cell>
          <cell r="E165">
            <v>440</v>
          </cell>
          <cell r="F165">
            <v>132</v>
          </cell>
          <cell r="G165">
            <v>36923.57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5540</v>
          </cell>
          <cell r="V165">
            <v>0</v>
          </cell>
        </row>
        <row r="166">
          <cell r="A166">
            <v>200628</v>
          </cell>
          <cell r="B166" t="str">
            <v>Automotive</v>
          </cell>
          <cell r="C166">
            <v>0</v>
          </cell>
          <cell r="D166">
            <v>0</v>
          </cell>
          <cell r="E166">
            <v>387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A167">
            <v>200628</v>
          </cell>
          <cell r="B167" t="str">
            <v>Help Wanted</v>
          </cell>
          <cell r="C167">
            <v>0</v>
          </cell>
          <cell r="D167">
            <v>0</v>
          </cell>
          <cell r="E167">
            <v>326.2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A168">
            <v>200628</v>
          </cell>
          <cell r="B168" t="str">
            <v>Merchandise</v>
          </cell>
          <cell r="C168">
            <v>0</v>
          </cell>
          <cell r="D168">
            <v>0</v>
          </cell>
          <cell r="E168">
            <v>529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A169">
            <v>200628</v>
          </cell>
          <cell r="B169" t="str">
            <v>Chronicles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2561.66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A170">
            <v>200629</v>
          </cell>
          <cell r="C170">
            <v>3622.75</v>
          </cell>
          <cell r="D170">
            <v>44</v>
          </cell>
          <cell r="E170">
            <v>0</v>
          </cell>
          <cell r="F170">
            <v>0</v>
          </cell>
          <cell r="G170">
            <v>0</v>
          </cell>
          <cell r="H170">
            <v>-575</v>
          </cell>
          <cell r="I170">
            <v>0</v>
          </cell>
          <cell r="J170">
            <v>0</v>
          </cell>
          <cell r="K170">
            <v>16736.310000000001</v>
          </cell>
          <cell r="L170">
            <v>0</v>
          </cell>
          <cell r="M170">
            <v>0</v>
          </cell>
          <cell r="N170">
            <v>7195.05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200629</v>
          </cell>
          <cell r="B171" t="str">
            <v>Real Estate</v>
          </cell>
          <cell r="C171">
            <v>0</v>
          </cell>
          <cell r="D171">
            <v>0</v>
          </cell>
          <cell r="E171">
            <v>622</v>
          </cell>
          <cell r="F171">
            <v>0</v>
          </cell>
          <cell r="G171">
            <v>40226.449999999997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-37</v>
          </cell>
          <cell r="V171">
            <v>0</v>
          </cell>
        </row>
        <row r="172">
          <cell r="A172">
            <v>200629</v>
          </cell>
          <cell r="B172" t="str">
            <v>Automotive</v>
          </cell>
          <cell r="C172">
            <v>0</v>
          </cell>
          <cell r="D172">
            <v>0</v>
          </cell>
          <cell r="E172">
            <v>402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>
            <v>200629</v>
          </cell>
          <cell r="B173" t="str">
            <v>Help Wanted</v>
          </cell>
          <cell r="C173">
            <v>0</v>
          </cell>
          <cell r="D173">
            <v>0</v>
          </cell>
          <cell r="E173">
            <v>63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A174">
            <v>200629</v>
          </cell>
          <cell r="B174" t="str">
            <v>Merchandise</v>
          </cell>
          <cell r="C174">
            <v>0</v>
          </cell>
          <cell r="D174">
            <v>0</v>
          </cell>
          <cell r="E174">
            <v>463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A175">
            <v>200629</v>
          </cell>
          <cell r="B175" t="str">
            <v>Chronicles</v>
          </cell>
          <cell r="C175">
            <v>0</v>
          </cell>
          <cell r="D175">
            <v>0</v>
          </cell>
          <cell r="E175">
            <v>35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3292.47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</row>
        <row r="176">
          <cell r="A176">
            <v>200630</v>
          </cell>
          <cell r="C176">
            <v>4153.5</v>
          </cell>
          <cell r="D176">
            <v>44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21858.71</v>
          </cell>
          <cell r="L176">
            <v>0</v>
          </cell>
          <cell r="M176">
            <v>0</v>
          </cell>
          <cell r="N176">
            <v>8657.2099999999991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>
            <v>200630</v>
          </cell>
          <cell r="B177" t="str">
            <v>Real Estate</v>
          </cell>
          <cell r="C177">
            <v>0</v>
          </cell>
          <cell r="D177">
            <v>0</v>
          </cell>
          <cell r="E177">
            <v>610</v>
          </cell>
          <cell r="F177">
            <v>0</v>
          </cell>
          <cell r="G177">
            <v>37626.68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A178">
            <v>200630</v>
          </cell>
          <cell r="B178" t="str">
            <v>Automotive</v>
          </cell>
          <cell r="C178">
            <v>0</v>
          </cell>
          <cell r="D178">
            <v>0</v>
          </cell>
          <cell r="E178">
            <v>561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</row>
        <row r="179">
          <cell r="A179">
            <v>200630</v>
          </cell>
          <cell r="B179" t="str">
            <v>Help Wanted</v>
          </cell>
          <cell r="C179">
            <v>0</v>
          </cell>
          <cell r="D179">
            <v>0</v>
          </cell>
          <cell r="E179">
            <v>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A180">
            <v>200630</v>
          </cell>
          <cell r="B180" t="str">
            <v>Merchandise</v>
          </cell>
          <cell r="C180">
            <v>0</v>
          </cell>
          <cell r="D180">
            <v>0</v>
          </cell>
          <cell r="E180">
            <v>454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>
            <v>200630</v>
          </cell>
          <cell r="B181" t="str">
            <v>Chronicles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3147.33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A182">
            <v>200631</v>
          </cell>
          <cell r="C182">
            <v>4938.75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-400</v>
          </cell>
          <cell r="I182">
            <v>0</v>
          </cell>
          <cell r="J182">
            <v>0</v>
          </cell>
          <cell r="K182">
            <v>20953.759999999998</v>
          </cell>
          <cell r="L182">
            <v>2915.1</v>
          </cell>
          <cell r="M182">
            <v>0</v>
          </cell>
          <cell r="N182">
            <v>9296.91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A183">
            <v>200631</v>
          </cell>
          <cell r="B183" t="str">
            <v>Real Estate</v>
          </cell>
          <cell r="C183">
            <v>0</v>
          </cell>
          <cell r="D183">
            <v>0</v>
          </cell>
          <cell r="E183">
            <v>697</v>
          </cell>
          <cell r="F183">
            <v>0</v>
          </cell>
          <cell r="G183">
            <v>41444.33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A184">
            <v>200631</v>
          </cell>
          <cell r="B184" t="str">
            <v>Automotive</v>
          </cell>
          <cell r="C184">
            <v>0</v>
          </cell>
          <cell r="D184">
            <v>0</v>
          </cell>
          <cell r="E184">
            <v>481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>
            <v>200631</v>
          </cell>
          <cell r="B185" t="str">
            <v>Help Wanted</v>
          </cell>
          <cell r="C185">
            <v>0</v>
          </cell>
          <cell r="D185">
            <v>0</v>
          </cell>
          <cell r="E185">
            <v>181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A186">
            <v>200631</v>
          </cell>
          <cell r="B186" t="str">
            <v>Merchandise</v>
          </cell>
          <cell r="C186">
            <v>0</v>
          </cell>
          <cell r="D186">
            <v>0</v>
          </cell>
          <cell r="E186">
            <v>450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A187">
            <v>200631</v>
          </cell>
          <cell r="B187" t="str">
            <v>Chronicles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3164.17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A188">
            <v>200632</v>
          </cell>
          <cell r="C188">
            <v>6448.25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28315</v>
          </cell>
          <cell r="I188">
            <v>0</v>
          </cell>
          <cell r="J188">
            <v>0</v>
          </cell>
          <cell r="K188">
            <v>24472.9</v>
          </cell>
          <cell r="L188">
            <v>3406.5</v>
          </cell>
          <cell r="M188">
            <v>0</v>
          </cell>
          <cell r="N188">
            <v>4545.55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A189">
            <v>200632</v>
          </cell>
          <cell r="B189" t="str">
            <v>Real Estate</v>
          </cell>
          <cell r="C189">
            <v>0</v>
          </cell>
          <cell r="D189">
            <v>0</v>
          </cell>
          <cell r="E189">
            <v>750</v>
          </cell>
          <cell r="F189">
            <v>0</v>
          </cell>
          <cell r="G189">
            <v>36817.160000000003</v>
          </cell>
          <cell r="H189">
            <v>0</v>
          </cell>
          <cell r="I189">
            <v>7383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5540</v>
          </cell>
          <cell r="V189">
            <v>0</v>
          </cell>
        </row>
        <row r="190">
          <cell r="A190">
            <v>200632</v>
          </cell>
          <cell r="B190" t="str">
            <v>Automotive</v>
          </cell>
          <cell r="C190">
            <v>0</v>
          </cell>
          <cell r="D190">
            <v>0</v>
          </cell>
          <cell r="E190">
            <v>496</v>
          </cell>
          <cell r="F190">
            <v>0</v>
          </cell>
          <cell r="G190">
            <v>0</v>
          </cell>
          <cell r="H190">
            <v>0</v>
          </cell>
          <cell r="I190">
            <v>192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A191">
            <v>200632</v>
          </cell>
          <cell r="B191" t="str">
            <v>Help Wanted</v>
          </cell>
          <cell r="C191">
            <v>0</v>
          </cell>
          <cell r="D191">
            <v>0</v>
          </cell>
          <cell r="E191">
            <v>207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200632</v>
          </cell>
          <cell r="B192" t="str">
            <v>Merchandise</v>
          </cell>
          <cell r="C192">
            <v>0</v>
          </cell>
          <cell r="D192">
            <v>0</v>
          </cell>
          <cell r="E192">
            <v>449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A193">
            <v>200632</v>
          </cell>
          <cell r="B193" t="str">
            <v>Chronicles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3349.3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</row>
        <row r="194">
          <cell r="A194">
            <v>200633</v>
          </cell>
          <cell r="C194">
            <v>3890.75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-461.95</v>
          </cell>
          <cell r="I194">
            <v>0</v>
          </cell>
          <cell r="J194">
            <v>0</v>
          </cell>
          <cell r="K194">
            <v>20353.509999999998</v>
          </cell>
          <cell r="L194">
            <v>2484</v>
          </cell>
          <cell r="M194">
            <v>0</v>
          </cell>
          <cell r="N194">
            <v>5677.86</v>
          </cell>
          <cell r="O194">
            <v>0</v>
          </cell>
          <cell r="P194">
            <v>925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</row>
        <row r="195">
          <cell r="A195">
            <v>200633</v>
          </cell>
          <cell r="B195" t="str">
            <v>Real Estate</v>
          </cell>
          <cell r="C195">
            <v>0</v>
          </cell>
          <cell r="D195">
            <v>0</v>
          </cell>
          <cell r="E195">
            <v>769</v>
          </cell>
          <cell r="F195">
            <v>0</v>
          </cell>
          <cell r="G195">
            <v>40607.43</v>
          </cell>
          <cell r="H195">
            <v>0</v>
          </cell>
          <cell r="I195">
            <v>-705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A196">
            <v>200633</v>
          </cell>
          <cell r="B196" t="str">
            <v>Automotive</v>
          </cell>
          <cell r="C196">
            <v>0</v>
          </cell>
          <cell r="D196">
            <v>0</v>
          </cell>
          <cell r="E196">
            <v>558</v>
          </cell>
          <cell r="F196">
            <v>364.5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>
            <v>200633</v>
          </cell>
          <cell r="B197" t="str">
            <v>Help Wanted</v>
          </cell>
          <cell r="C197">
            <v>0</v>
          </cell>
          <cell r="D197">
            <v>0</v>
          </cell>
          <cell r="E197">
            <v>67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200633</v>
          </cell>
          <cell r="B198" t="str">
            <v>Merchandise</v>
          </cell>
          <cell r="C198">
            <v>0</v>
          </cell>
          <cell r="D198">
            <v>0</v>
          </cell>
          <cell r="E198">
            <v>452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A199">
            <v>200633</v>
          </cell>
          <cell r="B199" t="str">
            <v>Chronicles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4596.38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A200">
            <v>200634</v>
          </cell>
          <cell r="C200">
            <v>4862.75</v>
          </cell>
          <cell r="D200">
            <v>126</v>
          </cell>
          <cell r="E200">
            <v>0</v>
          </cell>
          <cell r="F200">
            <v>0</v>
          </cell>
          <cell r="G200">
            <v>0</v>
          </cell>
          <cell r="H200">
            <v>-7.05</v>
          </cell>
          <cell r="I200">
            <v>0</v>
          </cell>
          <cell r="J200">
            <v>0</v>
          </cell>
          <cell r="K200">
            <v>23180.65</v>
          </cell>
          <cell r="L200">
            <v>2538</v>
          </cell>
          <cell r="M200">
            <v>0</v>
          </cell>
          <cell r="N200">
            <v>5374.51</v>
          </cell>
          <cell r="O200">
            <v>0</v>
          </cell>
          <cell r="P200">
            <v>0</v>
          </cell>
          <cell r="Q200">
            <v>97509.08</v>
          </cell>
          <cell r="R200">
            <v>0</v>
          </cell>
          <cell r="S200">
            <v>4961.07</v>
          </cell>
          <cell r="T200">
            <v>0</v>
          </cell>
          <cell r="U200">
            <v>0</v>
          </cell>
          <cell r="V200">
            <v>0</v>
          </cell>
        </row>
        <row r="201">
          <cell r="A201">
            <v>200634</v>
          </cell>
          <cell r="B201" t="str">
            <v>Real Estate</v>
          </cell>
          <cell r="C201">
            <v>0</v>
          </cell>
          <cell r="D201">
            <v>0</v>
          </cell>
          <cell r="E201">
            <v>610</v>
          </cell>
          <cell r="F201">
            <v>0</v>
          </cell>
          <cell r="G201">
            <v>44221.48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A202">
            <v>200634</v>
          </cell>
          <cell r="B202" t="str">
            <v>Automotive</v>
          </cell>
          <cell r="C202">
            <v>0</v>
          </cell>
          <cell r="D202">
            <v>0</v>
          </cell>
          <cell r="E202">
            <v>478</v>
          </cell>
          <cell r="F202">
            <v>282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>
            <v>200634</v>
          </cell>
          <cell r="B203" t="str">
            <v>Help Wanted</v>
          </cell>
          <cell r="C203">
            <v>0</v>
          </cell>
          <cell r="D203">
            <v>0</v>
          </cell>
          <cell r="E203">
            <v>100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200634</v>
          </cell>
          <cell r="B204" t="str">
            <v>Merchandise</v>
          </cell>
          <cell r="C204">
            <v>0</v>
          </cell>
          <cell r="D204">
            <v>0</v>
          </cell>
          <cell r="E204">
            <v>579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58969.22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A205">
            <v>200634</v>
          </cell>
          <cell r="B205" t="str">
            <v>Chronicles</v>
          </cell>
          <cell r="C205">
            <v>0</v>
          </cell>
          <cell r="D205">
            <v>0</v>
          </cell>
          <cell r="E205">
            <v>4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3460.75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A206">
            <v>200635</v>
          </cell>
          <cell r="C206">
            <v>3230.25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22152.74</v>
          </cell>
          <cell r="L206">
            <v>2388.89</v>
          </cell>
          <cell r="M206">
            <v>0</v>
          </cell>
          <cell r="N206">
            <v>10726.79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A207">
            <v>200635</v>
          </cell>
          <cell r="B207" t="str">
            <v>Real Estate</v>
          </cell>
          <cell r="C207">
            <v>0</v>
          </cell>
          <cell r="D207">
            <v>0</v>
          </cell>
          <cell r="E207">
            <v>748</v>
          </cell>
          <cell r="F207">
            <v>0</v>
          </cell>
          <cell r="G207">
            <v>40631.51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</row>
        <row r="208">
          <cell r="A208">
            <v>200635</v>
          </cell>
          <cell r="B208" t="str">
            <v>Automotive</v>
          </cell>
          <cell r="C208">
            <v>0</v>
          </cell>
          <cell r="D208">
            <v>0</v>
          </cell>
          <cell r="E208">
            <v>499</v>
          </cell>
          <cell r="F208">
            <v>370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A209">
            <v>200635</v>
          </cell>
          <cell r="B209" t="str">
            <v>Help Wanted</v>
          </cell>
          <cell r="C209">
            <v>0</v>
          </cell>
          <cell r="D209">
            <v>0</v>
          </cell>
          <cell r="E209">
            <v>368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A210">
            <v>200635</v>
          </cell>
          <cell r="B210" t="str">
            <v>Merchandise</v>
          </cell>
          <cell r="C210">
            <v>0</v>
          </cell>
          <cell r="D210">
            <v>0</v>
          </cell>
          <cell r="E210">
            <v>681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A211">
            <v>200635</v>
          </cell>
          <cell r="B211" t="str">
            <v>Chronicles</v>
          </cell>
          <cell r="C211">
            <v>0</v>
          </cell>
          <cell r="D211">
            <v>0</v>
          </cell>
          <cell r="E211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3168.72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A212">
            <v>200636</v>
          </cell>
          <cell r="C212">
            <v>6972.75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28943.7</v>
          </cell>
          <cell r="I212">
            <v>0</v>
          </cell>
          <cell r="J212">
            <v>0</v>
          </cell>
          <cell r="K212">
            <v>20598.97</v>
          </cell>
          <cell r="L212">
            <v>122.11</v>
          </cell>
          <cell r="M212">
            <v>0</v>
          </cell>
          <cell r="N212">
            <v>5565.98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</row>
        <row r="213">
          <cell r="A213">
            <v>200636</v>
          </cell>
          <cell r="B213" t="str">
            <v>Real Estate</v>
          </cell>
          <cell r="C213">
            <v>0</v>
          </cell>
          <cell r="D213">
            <v>0</v>
          </cell>
          <cell r="E213">
            <v>794</v>
          </cell>
          <cell r="F213">
            <v>0</v>
          </cell>
          <cell r="G213">
            <v>33544.400000000001</v>
          </cell>
          <cell r="H213">
            <v>0</v>
          </cell>
          <cell r="I213">
            <v>7398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5540</v>
          </cell>
          <cell r="V213">
            <v>0</v>
          </cell>
        </row>
        <row r="214">
          <cell r="A214">
            <v>200636</v>
          </cell>
          <cell r="B214" t="str">
            <v>Automotive</v>
          </cell>
          <cell r="C214">
            <v>0</v>
          </cell>
          <cell r="D214">
            <v>0</v>
          </cell>
          <cell r="E214">
            <v>457</v>
          </cell>
          <cell r="F214">
            <v>110</v>
          </cell>
          <cell r="G214">
            <v>0</v>
          </cell>
          <cell r="H214">
            <v>0</v>
          </cell>
          <cell r="I214">
            <v>192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A215">
            <v>200636</v>
          </cell>
          <cell r="B215" t="str">
            <v>Help Wanted</v>
          </cell>
          <cell r="C215">
            <v>0</v>
          </cell>
          <cell r="D215">
            <v>0</v>
          </cell>
          <cell r="E215">
            <v>240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</row>
        <row r="216">
          <cell r="A216">
            <v>200636</v>
          </cell>
          <cell r="B216" t="str">
            <v>Merchandise</v>
          </cell>
          <cell r="C216">
            <v>0</v>
          </cell>
          <cell r="D216">
            <v>0</v>
          </cell>
          <cell r="E216">
            <v>389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</row>
        <row r="217">
          <cell r="A217">
            <v>200636</v>
          </cell>
          <cell r="B217" t="str">
            <v>Chronicles</v>
          </cell>
          <cell r="C217">
            <v>0</v>
          </cell>
          <cell r="D217">
            <v>0</v>
          </cell>
          <cell r="E217">
            <v>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2825.37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</row>
        <row r="218">
          <cell r="A218">
            <v>200637</v>
          </cell>
          <cell r="C218">
            <v>4710.75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21539.87</v>
          </cell>
          <cell r="L218">
            <v>4878</v>
          </cell>
          <cell r="M218">
            <v>0</v>
          </cell>
          <cell r="N218">
            <v>8212.5300000000007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A219">
            <v>200637</v>
          </cell>
          <cell r="B219" t="str">
            <v>Real Estate</v>
          </cell>
          <cell r="C219">
            <v>0</v>
          </cell>
          <cell r="D219">
            <v>0</v>
          </cell>
          <cell r="E219">
            <v>616</v>
          </cell>
          <cell r="F219">
            <v>0</v>
          </cell>
          <cell r="G219">
            <v>41055.129999999997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358.56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0">
          <cell r="A220">
            <v>200637</v>
          </cell>
          <cell r="B220" t="str">
            <v>Automotive</v>
          </cell>
          <cell r="C220">
            <v>0</v>
          </cell>
          <cell r="D220">
            <v>0</v>
          </cell>
          <cell r="E220">
            <v>397</v>
          </cell>
          <cell r="F220">
            <v>663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A221">
            <v>200637</v>
          </cell>
          <cell r="B221" t="str">
            <v>Help Wanted</v>
          </cell>
          <cell r="C221">
            <v>0</v>
          </cell>
          <cell r="D221">
            <v>0</v>
          </cell>
          <cell r="E221">
            <v>140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A222">
            <v>200637</v>
          </cell>
          <cell r="B222" t="str">
            <v>Merchandise</v>
          </cell>
          <cell r="C222">
            <v>0</v>
          </cell>
          <cell r="D222">
            <v>0</v>
          </cell>
          <cell r="E222">
            <v>402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</row>
        <row r="223">
          <cell r="A223">
            <v>200637</v>
          </cell>
          <cell r="B223" t="str">
            <v>Chronicles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2772.27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</row>
        <row r="224">
          <cell r="A224">
            <v>200638</v>
          </cell>
          <cell r="C224">
            <v>4841.25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-135</v>
          </cell>
          <cell r="I224">
            <v>0</v>
          </cell>
          <cell r="J224">
            <v>0</v>
          </cell>
          <cell r="K224">
            <v>24947.82</v>
          </cell>
          <cell r="L224">
            <v>2697.84</v>
          </cell>
          <cell r="M224">
            <v>0</v>
          </cell>
          <cell r="N224">
            <v>9842.58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A225">
            <v>200638</v>
          </cell>
          <cell r="B225" t="str">
            <v>Real Estate</v>
          </cell>
          <cell r="C225">
            <v>0</v>
          </cell>
          <cell r="D225">
            <v>0</v>
          </cell>
          <cell r="E225">
            <v>628</v>
          </cell>
          <cell r="F225">
            <v>0</v>
          </cell>
          <cell r="G225">
            <v>42168.87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</row>
        <row r="226">
          <cell r="A226">
            <v>200638</v>
          </cell>
          <cell r="B226" t="str">
            <v>Automotive</v>
          </cell>
          <cell r="C226">
            <v>0</v>
          </cell>
          <cell r="D226">
            <v>0</v>
          </cell>
          <cell r="E226">
            <v>295</v>
          </cell>
          <cell r="F226">
            <v>663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A227">
            <v>200638</v>
          </cell>
          <cell r="B227" t="str">
            <v>Help Wanted</v>
          </cell>
          <cell r="C227">
            <v>0</v>
          </cell>
          <cell r="D227">
            <v>0</v>
          </cell>
          <cell r="E227">
            <v>282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</row>
        <row r="228">
          <cell r="A228">
            <v>200638</v>
          </cell>
          <cell r="B228" t="str">
            <v>Merchandise</v>
          </cell>
          <cell r="C228">
            <v>0</v>
          </cell>
          <cell r="D228">
            <v>0</v>
          </cell>
          <cell r="E228">
            <v>469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A229">
            <v>200638</v>
          </cell>
          <cell r="B229" t="str">
            <v>Chronicles</v>
          </cell>
          <cell r="C229">
            <v>0</v>
          </cell>
          <cell r="D229">
            <v>0</v>
          </cell>
          <cell r="E229">
            <v>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3615.07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</row>
        <row r="230">
          <cell r="A230">
            <v>200639</v>
          </cell>
          <cell r="C230">
            <v>4483.25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-575</v>
          </cell>
          <cell r="I230">
            <v>0</v>
          </cell>
          <cell r="J230">
            <v>0</v>
          </cell>
          <cell r="K230">
            <v>25747.360000000001</v>
          </cell>
          <cell r="L230">
            <v>2484</v>
          </cell>
          <cell r="M230">
            <v>0</v>
          </cell>
          <cell r="N230">
            <v>9874.77</v>
          </cell>
          <cell r="O230">
            <v>0</v>
          </cell>
          <cell r="P230">
            <v>0</v>
          </cell>
          <cell r="Q230">
            <v>-250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A231">
            <v>200639</v>
          </cell>
          <cell r="B231" t="str">
            <v>Real Estate</v>
          </cell>
          <cell r="C231">
            <v>0</v>
          </cell>
          <cell r="D231">
            <v>0</v>
          </cell>
          <cell r="E231">
            <v>613</v>
          </cell>
          <cell r="F231">
            <v>0</v>
          </cell>
          <cell r="G231">
            <v>38654.79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A232">
            <v>200639</v>
          </cell>
          <cell r="B232" t="str">
            <v>Automotive</v>
          </cell>
          <cell r="C232">
            <v>0</v>
          </cell>
          <cell r="D232">
            <v>0</v>
          </cell>
          <cell r="E232">
            <v>409</v>
          </cell>
          <cell r="F232">
            <v>110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</row>
        <row r="233">
          <cell r="A233">
            <v>200639</v>
          </cell>
          <cell r="B233" t="str">
            <v>Help Wanted</v>
          </cell>
          <cell r="C233">
            <v>0</v>
          </cell>
          <cell r="D233">
            <v>0</v>
          </cell>
          <cell r="E233">
            <v>226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</row>
        <row r="234">
          <cell r="A234">
            <v>200639</v>
          </cell>
          <cell r="B234" t="str">
            <v>Merchandise</v>
          </cell>
          <cell r="C234">
            <v>0</v>
          </cell>
          <cell r="D234">
            <v>0</v>
          </cell>
          <cell r="E234">
            <v>455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A235">
            <v>200639</v>
          </cell>
          <cell r="B235" t="str">
            <v>Chronicles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3509.54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T.XLS"/>
      <sheetName val="CIRC ADV"/>
      <sheetName val="POST PRESS"/>
      <sheetName val="Class ROP Class"/>
      <sheetName val="CLSF PLND"/>
      <sheetName val="NWSPRT.XLS"/>
      <sheetName val="MSOVR.XLS"/>
      <sheetName val="CPYRTN.XLS"/>
      <sheetName val="PAID.XLS"/>
      <sheetName val="LINE.XLS"/>
      <sheetName val="STANDARD PAGES REPORT"/>
      <sheetName val="PDREP.XLS"/>
      <sheetName val="STANDARD PAGES BY DAY"/>
      <sheetName val="Newshole Inches"/>
      <sheetName val="STANDARD PAGES %"/>
    </sheetNames>
    <sheetDataSet>
      <sheetData sheetId="0">
        <row r="466">
          <cell r="A466" t="str">
            <v>Press Overrun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02">
          <cell r="A202" t="str">
            <v>Newsprint Report - August 2006</v>
          </cell>
        </row>
        <row r="204">
          <cell r="A204">
            <v>2006</v>
          </cell>
          <cell r="B204" t="str">
            <v xml:space="preserve">   --------   Current   --------</v>
          </cell>
          <cell r="D204">
            <v>2005</v>
          </cell>
          <cell r="I204">
            <v>2006</v>
          </cell>
          <cell r="J204" t="str">
            <v xml:space="preserve">   --------      YTD      --------</v>
          </cell>
          <cell r="L204">
            <v>2005</v>
          </cell>
        </row>
        <row r="205">
          <cell r="A205" t="str">
            <v>Actual</v>
          </cell>
          <cell r="B205" t="str">
            <v>Budget</v>
          </cell>
          <cell r="C205" t="str">
            <v>% Variance</v>
          </cell>
          <cell r="D205" t="str">
            <v>Actual</v>
          </cell>
          <cell r="E205" t="str">
            <v>% Variance</v>
          </cell>
          <cell r="I205" t="str">
            <v>Actual</v>
          </cell>
          <cell r="J205" t="str">
            <v>Budget</v>
          </cell>
          <cell r="K205" t="str">
            <v>% Variance</v>
          </cell>
          <cell r="L205" t="str">
            <v>Actual</v>
          </cell>
          <cell r="M205" t="str">
            <v>% Variance</v>
          </cell>
        </row>
        <row r="207">
          <cell r="A207">
            <v>272143</v>
          </cell>
          <cell r="D207">
            <v>286165</v>
          </cell>
          <cell r="E207">
            <v>-5.1524382401898938E-2</v>
          </cell>
          <cell r="F207" t="str">
            <v>000's PP Net</v>
          </cell>
          <cell r="I207">
            <v>2305318</v>
          </cell>
          <cell r="L207">
            <v>2506109</v>
          </cell>
          <cell r="M207">
            <v>-8.7099046639118827E-2</v>
          </cell>
        </row>
        <row r="209">
          <cell r="A209">
            <v>1.0312999999999999E-2</v>
          </cell>
          <cell r="D209">
            <v>1.0312999999999999E-2</v>
          </cell>
          <cell r="E209">
            <v>0</v>
          </cell>
          <cell r="F209" t="str">
            <v>Std Wt Per Pg</v>
          </cell>
          <cell r="I209">
            <v>1.0312999999999999E-2</v>
          </cell>
          <cell r="L209">
            <v>1.0312999999999999E-2</v>
          </cell>
          <cell r="M209">
            <v>0</v>
          </cell>
        </row>
        <row r="211">
          <cell r="A211">
            <v>1088351.4403061774</v>
          </cell>
          <cell r="D211">
            <v>1239452.8326403326</v>
          </cell>
          <cell r="E211">
            <v>-0.13883511036806917</v>
          </cell>
          <cell r="F211" t="str">
            <v>Month's Pub Wgt - Kgs</v>
          </cell>
          <cell r="I211">
            <v>9219397.1749763042</v>
          </cell>
          <cell r="L211">
            <v>10930681.935516877</v>
          </cell>
          <cell r="M211">
            <v>-0.18561785852825796</v>
          </cell>
        </row>
        <row r="213">
          <cell r="A213">
            <v>1168698.3466666667</v>
          </cell>
          <cell r="D213">
            <v>1338454.9350180505</v>
          </cell>
          <cell r="E213">
            <v>-0.14525269829940246</v>
          </cell>
          <cell r="F213" t="str">
            <v>Total Consumption - Kgs</v>
          </cell>
          <cell r="I213">
            <v>9937754.6422222219</v>
          </cell>
          <cell r="L213">
            <v>11803107.567990374</v>
          </cell>
          <cell r="M213">
            <v>-0.18770366072864042</v>
          </cell>
        </row>
        <row r="215">
          <cell r="A215">
            <v>0.93125094547309595</v>
          </cell>
          <cell r="B215">
            <v>0.91779999999999995</v>
          </cell>
          <cell r="C215">
            <v>1.4443953628699546E-2</v>
          </cell>
          <cell r="D215">
            <v>0.92603254709028904</v>
          </cell>
          <cell r="E215">
            <v>5.6036435808994867E-3</v>
          </cell>
          <cell r="F215" t="str">
            <v>Newsprint Yield - %</v>
          </cell>
          <cell r="I215">
            <v>0.927714308401834</v>
          </cell>
          <cell r="J215">
            <v>0.91779999999999995</v>
          </cell>
          <cell r="K215">
            <v>1.0686811998095957E-2</v>
          </cell>
          <cell r="L215">
            <v>0.92608509009614681</v>
          </cell>
          <cell r="M215">
            <v>1.7561638221295084E-3</v>
          </cell>
        </row>
        <row r="217">
          <cell r="A217">
            <v>80346.906360489316</v>
          </cell>
          <cell r="D217">
            <v>99002.102377717849</v>
          </cell>
          <cell r="E217">
            <v>-0.23218312766802729</v>
          </cell>
          <cell r="F217" t="str">
            <v>Total Waste - Kgs</v>
          </cell>
          <cell r="I217">
            <v>718357.46724591684</v>
          </cell>
          <cell r="L217">
            <v>872425.63247349695</v>
          </cell>
          <cell r="M217">
            <v>-0.21447283873620204</v>
          </cell>
        </row>
        <row r="219">
          <cell r="A219">
            <v>6.874905452690408E-2</v>
          </cell>
          <cell r="B219">
            <v>8.2199999999999995E-2</v>
          </cell>
          <cell r="C219">
            <v>-0.19565280665542906</v>
          </cell>
          <cell r="D219">
            <v>7.3967452909710935E-2</v>
          </cell>
          <cell r="E219">
            <v>-7.5905020348530083E-2</v>
          </cell>
          <cell r="F219" t="str">
            <v>Total Waste - %</v>
          </cell>
          <cell r="I219">
            <v>7.2285691598165877E-2</v>
          </cell>
          <cell r="J219">
            <v>8.2199999999999995E-2</v>
          </cell>
          <cell r="K219">
            <v>-0.13715450710422039</v>
          </cell>
          <cell r="L219">
            <v>7.3914909903853257E-2</v>
          </cell>
          <cell r="M219">
            <v>-2.253860023563381E-2</v>
          </cell>
        </row>
        <row r="221">
          <cell r="E221" t="str">
            <v xml:space="preserve"> </v>
          </cell>
          <cell r="M221" t="str">
            <v xml:space="preserve"> </v>
          </cell>
        </row>
        <row r="222">
          <cell r="A222">
            <v>50525.462708411651</v>
          </cell>
          <cell r="D222">
            <v>56801.579752225953</v>
          </cell>
          <cell r="E222">
            <v>-0.1242169137576139</v>
          </cell>
          <cell r="F222" t="str">
            <v>Running Waste - Kgs</v>
          </cell>
          <cell r="I222">
            <v>426958.97859008552</v>
          </cell>
          <cell r="L222">
            <v>493164.4308920055</v>
          </cell>
          <cell r="M222">
            <v>-0.15506279437089066</v>
          </cell>
        </row>
        <row r="224">
          <cell r="A224">
            <v>5584.8765983697649</v>
          </cell>
          <cell r="D224">
            <v>12185.980885334688</v>
          </cell>
          <cell r="E224">
            <v>-1.1819606343480888</v>
          </cell>
          <cell r="F224" t="str">
            <v>Non-Running Waste - Kgs</v>
          </cell>
          <cell r="I224">
            <v>73616.857379376655</v>
          </cell>
          <cell r="L224">
            <v>111575.80507473045</v>
          </cell>
          <cell r="M224">
            <v>-0.51562847215463692</v>
          </cell>
        </row>
        <row r="226">
          <cell r="A226">
            <v>2155.1368676368675</v>
          </cell>
          <cell r="D226">
            <v>3437.7598752598751</v>
          </cell>
          <cell r="E226">
            <v>-0.59514689154263256</v>
          </cell>
          <cell r="F226" t="str">
            <v>Press Overrun - Kgs</v>
          </cell>
          <cell r="I226">
            <v>18755.126168883864</v>
          </cell>
          <cell r="L226">
            <v>26404.937629937627</v>
          </cell>
          <cell r="M226">
            <v>-0.40787843239067967</v>
          </cell>
        </row>
        <row r="228">
          <cell r="A228">
            <v>11406.35828135828</v>
          </cell>
          <cell r="D228">
            <v>10142.870755370755</v>
          </cell>
          <cell r="E228">
            <v>0.1107704575659767</v>
          </cell>
          <cell r="F228" t="str">
            <v>Distribution Waste - Kgs</v>
          </cell>
          <cell r="I228">
            <v>88420.703395703385</v>
          </cell>
          <cell r="L228">
            <v>89702.759009008994</v>
          </cell>
          <cell r="M228">
            <v>-1.449949575234788E-2</v>
          </cell>
        </row>
        <row r="230">
          <cell r="A230">
            <v>1061.9833553954993</v>
          </cell>
          <cell r="D230">
            <v>2705.1282051282051</v>
          </cell>
          <cell r="E230">
            <v>-1.5472416223706</v>
          </cell>
          <cell r="F230" t="str">
            <v>Circ. Adv. Ordered Waste - Kgs</v>
          </cell>
          <cell r="I230">
            <v>14893.844062256205</v>
          </cell>
          <cell r="L230">
            <v>23135.143797643796</v>
          </cell>
          <cell r="M230">
            <v>-0.55333597565134918</v>
          </cell>
        </row>
        <row r="232">
          <cell r="A232">
            <v>2340.6585056648446</v>
          </cell>
          <cell r="D232">
            <v>3666.3288288288286</v>
          </cell>
          <cell r="E232">
            <v>-0.56636639644596021</v>
          </cell>
          <cell r="F232" t="str">
            <v>Post Press Waste - Kgs</v>
          </cell>
          <cell r="I232">
            <v>22681.896378152716</v>
          </cell>
          <cell r="L232">
            <v>31033.021483021479</v>
          </cell>
          <cell r="M232">
            <v>-0.36818460703808675</v>
          </cell>
        </row>
        <row r="234">
          <cell r="A234">
            <v>7272.4300436524063</v>
          </cell>
          <cell r="D234">
            <v>10062.454075569549</v>
          </cell>
          <cell r="E234">
            <v>-0.38364398353372398</v>
          </cell>
          <cell r="F234" t="str">
            <v>M/R &amp; Unacctd  Waste - Kgs</v>
          </cell>
          <cell r="I234">
            <v>73030.061271458442</v>
          </cell>
          <cell r="L234">
            <v>97409.53458714913</v>
          </cell>
          <cell r="M234">
            <v>-0.33382791813730339</v>
          </cell>
        </row>
        <row r="237">
          <cell r="A237">
            <v>4.3232253089532609E-2</v>
          </cell>
          <cell r="D237">
            <v>4.2438171257114403E-2</v>
          </cell>
          <cell r="E237">
            <v>1.8367810504201332E-2</v>
          </cell>
          <cell r="F237" t="str">
            <v>Running Waste - %</v>
          </cell>
          <cell r="I237">
            <v>4.2963324610176878E-2</v>
          </cell>
          <cell r="L237">
            <v>4.178259225811435E-2</v>
          </cell>
          <cell r="M237">
            <v>2.7482332030302037E-2</v>
          </cell>
        </row>
        <row r="239">
          <cell r="A239">
            <v>4.7787152384520916E-3</v>
          </cell>
          <cell r="D239">
            <v>9.1045133956417796E-3</v>
          </cell>
          <cell r="E239">
            <v>-0.90522199824379768</v>
          </cell>
          <cell r="F239" t="str">
            <v>Non-Running Waste - %</v>
          </cell>
          <cell r="I239">
            <v>7.4077958281041729E-3</v>
          </cell>
          <cell r="L239">
            <v>9.4530872002997115E-3</v>
          </cell>
          <cell r="M239">
            <v>-0.27609985745503152</v>
          </cell>
        </row>
        <row r="241">
          <cell r="A241">
            <v>1.8440488717928771E-3</v>
          </cell>
          <cell r="D241">
            <v>2.5684539578566487E-3</v>
          </cell>
          <cell r="E241">
            <v>-0.39283399542413888</v>
          </cell>
          <cell r="F241" t="str">
            <v>Press Overrun - %</v>
          </cell>
          <cell r="I241">
            <v>1.8872599338687188E-3</v>
          </cell>
          <cell r="L241">
            <v>2.2371174267314924E-3</v>
          </cell>
          <cell r="M241">
            <v>-0.18537854091227191</v>
          </cell>
        </row>
        <row r="242">
          <cell r="D242" t="str">
            <v xml:space="preserve"> </v>
          </cell>
          <cell r="I242" t="str">
            <v xml:space="preserve"> </v>
          </cell>
          <cell r="L242" t="str">
            <v xml:space="preserve"> </v>
          </cell>
        </row>
        <row r="243">
          <cell r="A243">
            <v>9.7598822774852215E-3</v>
          </cell>
          <cell r="D243">
            <v>7.5780442732903582E-3</v>
          </cell>
          <cell r="E243">
            <v>0.2235516722602362</v>
          </cell>
          <cell r="F243" t="str">
            <v>Distribution Waste - %</v>
          </cell>
          <cell r="I243">
            <v>8.8974528531860862E-3</v>
          </cell>
          <cell r="L243">
            <v>7.5999272642638472E-3</v>
          </cell>
          <cell r="M243">
            <v>0.145831128338894</v>
          </cell>
        </row>
        <row r="245">
          <cell r="A245">
            <v>9.0868902007473762E-4</v>
          </cell>
          <cell r="D245">
            <v>2.0210827681633702E-3</v>
          </cell>
          <cell r="E245">
            <v>-1.2241743033245198</v>
          </cell>
          <cell r="F245" t="str">
            <v>Circ. Adv. Ordered Waste - %</v>
          </cell>
          <cell r="I245">
            <v>1.4987132001606483E-3</v>
          </cell>
          <cell r="L245">
            <v>1.9600892107757722E-3</v>
          </cell>
          <cell r="M245">
            <v>-0.30784809966687998</v>
          </cell>
        </row>
        <row r="247">
          <cell r="A247">
            <v>2.0027909788191407E-3</v>
          </cell>
          <cell r="D247">
            <v>2.7392247082113261E-3</v>
          </cell>
          <cell r="E247">
            <v>-0.36770373802382106</v>
          </cell>
          <cell r="F247" t="str">
            <v>Post Press Waste - %</v>
          </cell>
          <cell r="I247">
            <v>2.2823964964666025E-3</v>
          </cell>
          <cell r="L247">
            <v>2.6292246600532537E-3</v>
          </cell>
          <cell r="M247">
            <v>-0.15195789343507093</v>
          </cell>
        </row>
        <row r="248">
          <cell r="D248" t="str">
            <v xml:space="preserve"> </v>
          </cell>
          <cell r="I248" t="str">
            <v xml:space="preserve"> </v>
          </cell>
          <cell r="L248" t="str">
            <v xml:space="preserve"> </v>
          </cell>
        </row>
        <row r="249">
          <cell r="A249">
            <v>6.2226750507474032E-3</v>
          </cell>
          <cell r="D249">
            <v>7.517962549433049E-3</v>
          </cell>
          <cell r="E249">
            <v>-0.20815605637804735</v>
          </cell>
          <cell r="F249" t="str">
            <v>M/R &amp; Unacctd Waste - %</v>
          </cell>
          <cell r="I249">
            <v>7.3487486762027652E-3</v>
          </cell>
          <cell r="L249">
            <v>8.2528718836148273E-3</v>
          </cell>
          <cell r="M249">
            <v>-0.12303090597449029</v>
          </cell>
        </row>
        <row r="250">
          <cell r="A250" t="str">
            <v>C:\Chris M\[aug06crm_45gmREVISED.xls]LINE.XLS</v>
          </cell>
        </row>
        <row r="251">
          <cell r="A251">
            <v>38995.648049074072</v>
          </cell>
        </row>
      </sheetData>
      <sheetData sheetId="6" refreshError="1"/>
      <sheetData sheetId="7" refreshError="1"/>
      <sheetData sheetId="8">
        <row r="147">
          <cell r="A147" t="str">
            <v>SUMMARY: Paid Space - August 2006</v>
          </cell>
          <cell r="F147" t="str">
            <v>C:\Chris M\[aug06crm_45gmREVISED.xls]LINE.XLS</v>
          </cell>
        </row>
        <row r="148">
          <cell r="F148">
            <v>38995.648049074072</v>
          </cell>
        </row>
        <row r="149">
          <cell r="D149" t="str">
            <v>Week 1</v>
          </cell>
          <cell r="E149" t="str">
            <v>Week 2</v>
          </cell>
          <cell r="F149" t="str">
            <v>Week 3</v>
          </cell>
          <cell r="G149" t="str">
            <v>Week 4</v>
          </cell>
          <cell r="H149" t="str">
            <v/>
          </cell>
        </row>
        <row r="150">
          <cell r="A150" t="str">
            <v>Total Inch Pub this Week</v>
          </cell>
          <cell r="D150">
            <v>7518841470</v>
          </cell>
          <cell r="E150">
            <v>7429035978</v>
          </cell>
          <cell r="F150">
            <v>7514849790</v>
          </cell>
          <cell r="G150">
            <v>7750045674</v>
          </cell>
          <cell r="H150" t="str">
            <v/>
          </cell>
        </row>
        <row r="151">
          <cell r="A151" t="str">
            <v>WTD Paid Inch Pub this Week</v>
          </cell>
          <cell r="D151">
            <v>2733457571.6548605</v>
          </cell>
          <cell r="E151">
            <v>2777104408.970294</v>
          </cell>
          <cell r="F151">
            <v>2930487933.4320011</v>
          </cell>
          <cell r="G151">
            <v>3163361450.3499236</v>
          </cell>
          <cell r="H151">
            <v>0</v>
          </cell>
        </row>
        <row r="152">
          <cell r="A152" t="str">
            <v>Weekly WTD % Paid Space</v>
          </cell>
          <cell r="D152">
            <v>0.36354770646000339</v>
          </cell>
          <cell r="E152">
            <v>0.3738176012600129</v>
          </cell>
          <cell r="F152">
            <v>0.38995961533809992</v>
          </cell>
          <cell r="G152">
            <v>0.40817326547667049</v>
          </cell>
          <cell r="H152" t="str">
            <v/>
          </cell>
        </row>
        <row r="154">
          <cell r="A154" t="str">
            <v>Total Inch Pub this Period</v>
          </cell>
          <cell r="D154">
            <v>30212772912</v>
          </cell>
        </row>
        <row r="155">
          <cell r="A155" t="str">
            <v>WTD Paid Inch Pub this Period</v>
          </cell>
          <cell r="D155">
            <v>11604411364.40708</v>
          </cell>
        </row>
        <row r="156">
          <cell r="A156" t="str">
            <v>Period WTD % Paid Space</v>
          </cell>
          <cell r="D156">
            <v>0.38408958350850358</v>
          </cell>
        </row>
        <row r="159">
          <cell r="D159" t="str">
            <v>Total Month's Weekday Data by Edition</v>
          </cell>
        </row>
        <row r="160">
          <cell r="D160" t="str">
            <v>Edition 1</v>
          </cell>
          <cell r="E160" t="str">
            <v>Edition 2</v>
          </cell>
          <cell r="F160" t="str">
            <v>Edition 3</v>
          </cell>
          <cell r="G160" t="str">
            <v>Edition 4</v>
          </cell>
          <cell r="H160" t="str">
            <v xml:space="preserve"> Edition 5</v>
          </cell>
          <cell r="I160" t="str">
            <v xml:space="preserve"> Edition 6</v>
          </cell>
          <cell r="J160" t="str">
            <v xml:space="preserve"> Edition 7</v>
          </cell>
          <cell r="K160" t="str">
            <v xml:space="preserve"> Edition 8</v>
          </cell>
        </row>
        <row r="161">
          <cell r="A161" t="str">
            <v>Total Weekday Inches Pub</v>
          </cell>
          <cell r="D161">
            <v>955012464</v>
          </cell>
          <cell r="E161">
            <v>944935488</v>
          </cell>
          <cell r="F161">
            <v>1842567426</v>
          </cell>
          <cell r="G161">
            <v>4038456240</v>
          </cell>
          <cell r="H161">
            <v>8217904968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WTD Paid Inches Pub Wkdays</v>
          </cell>
          <cell r="D162">
            <v>340879517.63273597</v>
          </cell>
          <cell r="E162">
            <v>331299664.89512002</v>
          </cell>
          <cell r="F162">
            <v>654578581.66220796</v>
          </cell>
          <cell r="G162">
            <v>1428139380.962184</v>
          </cell>
          <cell r="H162">
            <v>2980677036.4098916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Weekday % Paid Space</v>
          </cell>
          <cell r="D163">
            <v>0.35693724478211203</v>
          </cell>
          <cell r="E163">
            <v>0.35060559064866026</v>
          </cell>
          <cell r="F163">
            <v>0.3552535296269847</v>
          </cell>
          <cell r="G163">
            <v>0.3536349773502025</v>
          </cell>
          <cell r="H163">
            <v>0.36270522085816992</v>
          </cell>
          <cell r="I163" t="e">
            <v>#DIV/0!</v>
          </cell>
          <cell r="J163" t="e">
            <v>#DIV/0!</v>
          </cell>
          <cell r="K163" t="e">
            <v>#DIV/0!</v>
          </cell>
        </row>
        <row r="164">
          <cell r="C164" t="str">
            <v xml:space="preserve"> </v>
          </cell>
          <cell r="D164" t="str">
            <v xml:space="preserve"> </v>
          </cell>
        </row>
        <row r="165">
          <cell r="D165" t="str">
            <v>Total Month's Data by Day</v>
          </cell>
        </row>
        <row r="166">
          <cell r="D166" t="str">
            <v>Monday</v>
          </cell>
          <cell r="E166" t="str">
            <v>Tuesday</v>
          </cell>
          <cell r="F166" t="str">
            <v>Wednesday</v>
          </cell>
          <cell r="G166" t="str">
            <v>Thursday</v>
          </cell>
          <cell r="H166" t="str">
            <v>Friday</v>
          </cell>
          <cell r="I166" t="str">
            <v>Saturday</v>
          </cell>
          <cell r="J166" t="str">
            <v>Sunday</v>
          </cell>
          <cell r="K166" t="str">
            <v>Total Month</v>
          </cell>
        </row>
        <row r="167">
          <cell r="A167" t="str">
            <v>Total Inches Pub this Day</v>
          </cell>
          <cell r="D167">
            <v>2161526724</v>
          </cell>
          <cell r="E167">
            <v>2612883420</v>
          </cell>
          <cell r="F167">
            <v>2813311242</v>
          </cell>
          <cell r="G167">
            <v>4331858328</v>
          </cell>
          <cell r="H167">
            <v>4079296872</v>
          </cell>
          <cell r="I167">
            <v>5815294506</v>
          </cell>
          <cell r="J167">
            <v>8398601820</v>
          </cell>
          <cell r="K167">
            <v>30212772912</v>
          </cell>
        </row>
        <row r="168">
          <cell r="A168" t="str">
            <v>WTD Paid Inch Pub this Day</v>
          </cell>
          <cell r="D168">
            <v>621404808.88481188</v>
          </cell>
          <cell r="E168">
            <v>700326927.253824</v>
          </cell>
          <cell r="F168">
            <v>964147997.31812</v>
          </cell>
          <cell r="G168">
            <v>1733266827.0255437</v>
          </cell>
          <cell r="H168">
            <v>1716427621.0798399</v>
          </cell>
          <cell r="I168">
            <v>2196086750.9426517</v>
          </cell>
          <cell r="J168">
            <v>3672750431.9022875</v>
          </cell>
          <cell r="K168">
            <v>11604411364.407078</v>
          </cell>
        </row>
        <row r="169">
          <cell r="A169" t="str">
            <v>WTD % Paid Space by Day</v>
          </cell>
          <cell r="D169">
            <v>0.28748421288767367</v>
          </cell>
          <cell r="E169">
            <v>0.2680283865300902</v>
          </cell>
          <cell r="F169">
            <v>0.34270932519812536</v>
          </cell>
          <cell r="G169">
            <v>0.40012084786387403</v>
          </cell>
          <cell r="H169">
            <v>0.42076555713835773</v>
          </cell>
          <cell r="I169">
            <v>0.37763981663814494</v>
          </cell>
          <cell r="J169">
            <v>0.43730498368861681</v>
          </cell>
          <cell r="K169">
            <v>0.38408958350850353</v>
          </cell>
        </row>
        <row r="171">
          <cell r="D171" t="str">
            <v>Total Month's Weekday Data by Week</v>
          </cell>
        </row>
        <row r="172">
          <cell r="D172" t="str">
            <v>Week 1</v>
          </cell>
          <cell r="E172" t="str">
            <v>Week 2</v>
          </cell>
          <cell r="F172" t="str">
            <v>Week 3</v>
          </cell>
          <cell r="G172" t="str">
            <v>Week 4</v>
          </cell>
          <cell r="H172" t="str">
            <v/>
          </cell>
          <cell r="J172" t="str">
            <v xml:space="preserve"> Weekday</v>
          </cell>
        </row>
        <row r="173">
          <cell r="A173" t="str">
            <v>Total Weekday Inches Pub</v>
          </cell>
          <cell r="D173">
            <v>3990735630</v>
          </cell>
          <cell r="E173">
            <v>3986661546</v>
          </cell>
          <cell r="F173">
            <v>4093123860</v>
          </cell>
          <cell r="G173">
            <v>3928355550</v>
          </cell>
          <cell r="H173" t="str">
            <v/>
          </cell>
          <cell r="J173">
            <v>15998876586</v>
          </cell>
        </row>
        <row r="174">
          <cell r="A174" t="str">
            <v>WTD Paid Inches Pub Wkdays</v>
          </cell>
          <cell r="D174">
            <v>1344635866.0948639</v>
          </cell>
          <cell r="E174">
            <v>1415240490.3325281</v>
          </cell>
          <cell r="F174">
            <v>1504863648.78896</v>
          </cell>
          <cell r="G174">
            <v>1470834176.345788</v>
          </cell>
          <cell r="H174" t="str">
            <v/>
          </cell>
          <cell r="J174">
            <v>5735574181.5621395</v>
          </cell>
        </row>
        <row r="175">
          <cell r="A175" t="str">
            <v>Weekday % Paid Space</v>
          </cell>
          <cell r="D175">
            <v>0.33693934922340718</v>
          </cell>
          <cell r="E175">
            <v>0.35499389000114739</v>
          </cell>
          <cell r="F175">
            <v>0.36765651376818098</v>
          </cell>
          <cell r="G175">
            <v>0.37441472840863094</v>
          </cell>
          <cell r="H175" t="str">
            <v/>
          </cell>
          <cell r="J175">
            <v>0.35849855774130535</v>
          </cell>
        </row>
        <row r="358">
          <cell r="A358" t="str">
            <v>SUMMARY: Promotional Space - August 2006</v>
          </cell>
          <cell r="F358" t="str">
            <v>C:\Chris M\[aug06crm_45gmREVISED.xls]LINE.XLS</v>
          </cell>
        </row>
        <row r="359">
          <cell r="B359" t="str">
            <v xml:space="preserve"> </v>
          </cell>
          <cell r="F359">
            <v>38995.648049074072</v>
          </cell>
        </row>
        <row r="360">
          <cell r="D360" t="str">
            <v>Week 1</v>
          </cell>
          <cell r="E360" t="str">
            <v>Week 2</v>
          </cell>
          <cell r="F360" t="str">
            <v>Week 3</v>
          </cell>
          <cell r="G360" t="str">
            <v>Week 4</v>
          </cell>
          <cell r="H360" t="str">
            <v/>
          </cell>
        </row>
        <row r="361">
          <cell r="A361" t="str">
            <v>Total Inches Pub this Week</v>
          </cell>
          <cell r="D361">
            <v>7165848438</v>
          </cell>
          <cell r="E361">
            <v>7069134618</v>
          </cell>
          <cell r="F361">
            <v>7155269478</v>
          </cell>
          <cell r="G361">
            <v>7392050946</v>
          </cell>
          <cell r="H361" t="str">
            <v/>
          </cell>
        </row>
        <row r="362">
          <cell r="A362" t="str">
            <v>WTD Plan Inch Pub this Week</v>
          </cell>
          <cell r="D362">
            <v>201039562.30000001</v>
          </cell>
          <cell r="E362">
            <v>190851913.19999999</v>
          </cell>
          <cell r="F362">
            <v>175680930.75</v>
          </cell>
          <cell r="G362">
            <v>165095939</v>
          </cell>
          <cell r="H362" t="str">
            <v/>
          </cell>
        </row>
        <row r="363">
          <cell r="A363" t="str">
            <v>Weekly WTD % Planned Space</v>
          </cell>
          <cell r="D363">
            <v>2.805523505547523E-2</v>
          </cell>
          <cell r="E363">
            <v>2.6997917498138665E-2</v>
          </cell>
          <cell r="F363">
            <v>2.4552664478977155E-2</v>
          </cell>
          <cell r="G363">
            <v>2.2334253403561433E-2</v>
          </cell>
          <cell r="H363" t="str">
            <v/>
          </cell>
        </row>
        <row r="365">
          <cell r="A365" t="str">
            <v>Total Inches Pub this Period</v>
          </cell>
          <cell r="D365">
            <v>28782303480</v>
          </cell>
        </row>
        <row r="366">
          <cell r="A366" t="str">
            <v>WTD Plan Inch Pub this Period</v>
          </cell>
          <cell r="D366">
            <v>732668345.25</v>
          </cell>
        </row>
        <row r="367">
          <cell r="A367" t="str">
            <v>Period WTD % Planned Space</v>
          </cell>
          <cell r="D367">
            <v>2.5455514558072472E-2</v>
          </cell>
        </row>
        <row r="370">
          <cell r="D370" t="str">
            <v>Week 1</v>
          </cell>
          <cell r="E370" t="str">
            <v>Week 2</v>
          </cell>
          <cell r="F370" t="str">
            <v>Week 3</v>
          </cell>
          <cell r="G370" t="str">
            <v>Week 4</v>
          </cell>
          <cell r="H370" t="str">
            <v/>
          </cell>
        </row>
        <row r="371">
          <cell r="A371" t="str">
            <v>WTD Filler Inch Pub this Week</v>
          </cell>
          <cell r="D371">
            <v>278300525.40600002</v>
          </cell>
          <cell r="E371">
            <v>282177187.53199995</v>
          </cell>
          <cell r="F371">
            <v>287440789.17199993</v>
          </cell>
          <cell r="G371">
            <v>254781553.60200012</v>
          </cell>
          <cell r="H371" t="str">
            <v/>
          </cell>
        </row>
        <row r="372">
          <cell r="A372" t="str">
            <v>Weekly WTD % Filler Space</v>
          </cell>
          <cell r="D372">
            <v>3.8837065535769849E-2</v>
          </cell>
          <cell r="E372">
            <v>3.991679360773491E-2</v>
          </cell>
          <cell r="F372">
            <v>4.0171902687352559E-2</v>
          </cell>
          <cell r="G372">
            <v>3.4466963967539746E-2</v>
          </cell>
          <cell r="H372" t="str">
            <v/>
          </cell>
        </row>
        <row r="374">
          <cell r="A374" t="str">
            <v>WTD Filler Inch Pub this Period</v>
          </cell>
          <cell r="D374">
            <v>1102700055.7119999</v>
          </cell>
        </row>
        <row r="375">
          <cell r="A375" t="str">
            <v>Period WTD % Filler Space</v>
          </cell>
          <cell r="D375">
            <v>3.8311737504895485E-2</v>
          </cell>
        </row>
        <row r="378">
          <cell r="D378" t="str">
            <v>Week 1</v>
          </cell>
          <cell r="E378" t="str">
            <v>Week 2</v>
          </cell>
          <cell r="F378" t="str">
            <v>Week 3</v>
          </cell>
          <cell r="G378" t="str">
            <v>Week 4</v>
          </cell>
          <cell r="H378" t="str">
            <v/>
          </cell>
        </row>
        <row r="379">
          <cell r="A379" t="str">
            <v>WTD Promo Inch Pub this Week</v>
          </cell>
          <cell r="D379">
            <v>479340087.70600003</v>
          </cell>
          <cell r="E379">
            <v>473029100.73199993</v>
          </cell>
          <cell r="F379">
            <v>463121719.92199993</v>
          </cell>
          <cell r="G379">
            <v>419877492.60200012</v>
          </cell>
          <cell r="H379" t="str">
            <v/>
          </cell>
        </row>
        <row r="380">
          <cell r="A380" t="str">
            <v>Weekly WTD % Promo Space</v>
          </cell>
          <cell r="D380">
            <v>6.6892300591245082E-2</v>
          </cell>
          <cell r="E380">
            <v>6.6914711105873576E-2</v>
          </cell>
          <cell r="F380">
            <v>6.4724567166329711E-2</v>
          </cell>
          <cell r="G380">
            <v>5.6801217371101179E-2</v>
          </cell>
          <cell r="H380" t="str">
            <v/>
          </cell>
        </row>
        <row r="382">
          <cell r="A382" t="str">
            <v>WTD Promo Inch Pub this Period</v>
          </cell>
          <cell r="D382">
            <v>1835368400.9619999</v>
          </cell>
        </row>
        <row r="383">
          <cell r="A383" t="str">
            <v>Period WTD % Promo Space</v>
          </cell>
          <cell r="D383">
            <v>6.3767252062967961E-2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Q139"/>
  <sheetViews>
    <sheetView showGridLines="0" tabSelected="1" zoomScale="80" zoomScaleNormal="80" workbookViewId="0">
      <pane xSplit="1" topLeftCell="V1" activePane="topRight" state="frozen"/>
      <selection activeCell="A4" sqref="A4"/>
      <selection pane="topRight"/>
    </sheetView>
  </sheetViews>
  <sheetFormatPr defaultColWidth="13.28515625" defaultRowHeight="15"/>
  <cols>
    <col min="1" max="1" width="74.42578125" customWidth="1"/>
    <col min="2" max="2" width="12.85546875" customWidth="1"/>
    <col min="3" max="27" width="18" customWidth="1"/>
    <col min="28" max="28" width="18.140625" bestFit="1" customWidth="1"/>
    <col min="266" max="266" width="66.140625" customWidth="1"/>
    <col min="267" max="267" width="12.85546875" customWidth="1"/>
    <col min="268" max="283" width="14.42578125" customWidth="1"/>
    <col min="284" max="284" width="17.85546875" bestFit="1" customWidth="1"/>
    <col min="522" max="522" width="66.140625" customWidth="1"/>
    <col min="523" max="523" width="12.85546875" customWidth="1"/>
    <col min="524" max="539" width="14.42578125" customWidth="1"/>
    <col min="540" max="540" width="17.85546875" bestFit="1" customWidth="1"/>
    <col min="778" max="778" width="66.140625" customWidth="1"/>
    <col min="779" max="779" width="12.85546875" customWidth="1"/>
    <col min="780" max="795" width="14.42578125" customWidth="1"/>
    <col min="796" max="796" width="17.85546875" bestFit="1" customWidth="1"/>
    <col min="1034" max="1034" width="66.140625" customWidth="1"/>
    <col min="1035" max="1035" width="12.85546875" customWidth="1"/>
    <col min="1036" max="1051" width="14.42578125" customWidth="1"/>
    <col min="1052" max="1052" width="17.85546875" bestFit="1" customWidth="1"/>
    <col min="1290" max="1290" width="66.140625" customWidth="1"/>
    <col min="1291" max="1291" width="12.85546875" customWidth="1"/>
    <col min="1292" max="1307" width="14.42578125" customWidth="1"/>
    <col min="1308" max="1308" width="17.85546875" bestFit="1" customWidth="1"/>
    <col min="1546" max="1546" width="66.140625" customWidth="1"/>
    <col min="1547" max="1547" width="12.85546875" customWidth="1"/>
    <col min="1548" max="1563" width="14.42578125" customWidth="1"/>
    <col min="1564" max="1564" width="17.85546875" bestFit="1" customWidth="1"/>
    <col min="1802" max="1802" width="66.140625" customWidth="1"/>
    <col min="1803" max="1803" width="12.85546875" customWidth="1"/>
    <col min="1804" max="1819" width="14.42578125" customWidth="1"/>
    <col min="1820" max="1820" width="17.85546875" bestFit="1" customWidth="1"/>
    <col min="2058" max="2058" width="66.140625" customWidth="1"/>
    <col min="2059" max="2059" width="12.85546875" customWidth="1"/>
    <col min="2060" max="2075" width="14.42578125" customWidth="1"/>
    <col min="2076" max="2076" width="17.85546875" bestFit="1" customWidth="1"/>
    <col min="2314" max="2314" width="66.140625" customWidth="1"/>
    <col min="2315" max="2315" width="12.85546875" customWidth="1"/>
    <col min="2316" max="2331" width="14.42578125" customWidth="1"/>
    <col min="2332" max="2332" width="17.85546875" bestFit="1" customWidth="1"/>
    <col min="2570" max="2570" width="66.140625" customWidth="1"/>
    <col min="2571" max="2571" width="12.85546875" customWidth="1"/>
    <col min="2572" max="2587" width="14.42578125" customWidth="1"/>
    <col min="2588" max="2588" width="17.85546875" bestFit="1" customWidth="1"/>
    <col min="2826" max="2826" width="66.140625" customWidth="1"/>
    <col min="2827" max="2827" width="12.85546875" customWidth="1"/>
    <col min="2828" max="2843" width="14.42578125" customWidth="1"/>
    <col min="2844" max="2844" width="17.85546875" bestFit="1" customWidth="1"/>
    <col min="3082" max="3082" width="66.140625" customWidth="1"/>
    <col min="3083" max="3083" width="12.85546875" customWidth="1"/>
    <col min="3084" max="3099" width="14.42578125" customWidth="1"/>
    <col min="3100" max="3100" width="17.85546875" bestFit="1" customWidth="1"/>
    <col min="3338" max="3338" width="66.140625" customWidth="1"/>
    <col min="3339" max="3339" width="12.85546875" customWidth="1"/>
    <col min="3340" max="3355" width="14.42578125" customWidth="1"/>
    <col min="3356" max="3356" width="17.85546875" bestFit="1" customWidth="1"/>
    <col min="3594" max="3594" width="66.140625" customWidth="1"/>
    <col min="3595" max="3595" width="12.85546875" customWidth="1"/>
    <col min="3596" max="3611" width="14.42578125" customWidth="1"/>
    <col min="3612" max="3612" width="17.85546875" bestFit="1" customWidth="1"/>
    <col min="3850" max="3850" width="66.140625" customWidth="1"/>
    <col min="3851" max="3851" width="12.85546875" customWidth="1"/>
    <col min="3852" max="3867" width="14.42578125" customWidth="1"/>
    <col min="3868" max="3868" width="17.85546875" bestFit="1" customWidth="1"/>
    <col min="4106" max="4106" width="66.140625" customWidth="1"/>
    <col min="4107" max="4107" width="12.85546875" customWidth="1"/>
    <col min="4108" max="4123" width="14.42578125" customWidth="1"/>
    <col min="4124" max="4124" width="17.85546875" bestFit="1" customWidth="1"/>
    <col min="4362" max="4362" width="66.140625" customWidth="1"/>
    <col min="4363" max="4363" width="12.85546875" customWidth="1"/>
    <col min="4364" max="4379" width="14.42578125" customWidth="1"/>
    <col min="4380" max="4380" width="17.85546875" bestFit="1" customWidth="1"/>
    <col min="4618" max="4618" width="66.140625" customWidth="1"/>
    <col min="4619" max="4619" width="12.85546875" customWidth="1"/>
    <col min="4620" max="4635" width="14.42578125" customWidth="1"/>
    <col min="4636" max="4636" width="17.85546875" bestFit="1" customWidth="1"/>
    <col min="4874" max="4874" width="66.140625" customWidth="1"/>
    <col min="4875" max="4875" width="12.85546875" customWidth="1"/>
    <col min="4876" max="4891" width="14.42578125" customWidth="1"/>
    <col min="4892" max="4892" width="17.85546875" bestFit="1" customWidth="1"/>
    <col min="5130" max="5130" width="66.140625" customWidth="1"/>
    <col min="5131" max="5131" width="12.85546875" customWidth="1"/>
    <col min="5132" max="5147" width="14.42578125" customWidth="1"/>
    <col min="5148" max="5148" width="17.85546875" bestFit="1" customWidth="1"/>
    <col min="5386" max="5386" width="66.140625" customWidth="1"/>
    <col min="5387" max="5387" width="12.85546875" customWidth="1"/>
    <col min="5388" max="5403" width="14.42578125" customWidth="1"/>
    <col min="5404" max="5404" width="17.85546875" bestFit="1" customWidth="1"/>
    <col min="5642" max="5642" width="66.140625" customWidth="1"/>
    <col min="5643" max="5643" width="12.85546875" customWidth="1"/>
    <col min="5644" max="5659" width="14.42578125" customWidth="1"/>
    <col min="5660" max="5660" width="17.85546875" bestFit="1" customWidth="1"/>
    <col min="5898" max="5898" width="66.140625" customWidth="1"/>
    <col min="5899" max="5899" width="12.85546875" customWidth="1"/>
    <col min="5900" max="5915" width="14.42578125" customWidth="1"/>
    <col min="5916" max="5916" width="17.85546875" bestFit="1" customWidth="1"/>
    <col min="6154" max="6154" width="66.140625" customWidth="1"/>
    <col min="6155" max="6155" width="12.85546875" customWidth="1"/>
    <col min="6156" max="6171" width="14.42578125" customWidth="1"/>
    <col min="6172" max="6172" width="17.85546875" bestFit="1" customWidth="1"/>
    <col min="6410" max="6410" width="66.140625" customWidth="1"/>
    <col min="6411" max="6411" width="12.85546875" customWidth="1"/>
    <col min="6412" max="6427" width="14.42578125" customWidth="1"/>
    <col min="6428" max="6428" width="17.85546875" bestFit="1" customWidth="1"/>
    <col min="6666" max="6666" width="66.140625" customWidth="1"/>
    <col min="6667" max="6667" width="12.85546875" customWidth="1"/>
    <col min="6668" max="6683" width="14.42578125" customWidth="1"/>
    <col min="6684" max="6684" width="17.85546875" bestFit="1" customWidth="1"/>
    <col min="6922" max="6922" width="66.140625" customWidth="1"/>
    <col min="6923" max="6923" width="12.85546875" customWidth="1"/>
    <col min="6924" max="6939" width="14.42578125" customWidth="1"/>
    <col min="6940" max="6940" width="17.85546875" bestFit="1" customWidth="1"/>
    <col min="7178" max="7178" width="66.140625" customWidth="1"/>
    <col min="7179" max="7179" width="12.85546875" customWidth="1"/>
    <col min="7180" max="7195" width="14.42578125" customWidth="1"/>
    <col min="7196" max="7196" width="17.85546875" bestFit="1" customWidth="1"/>
    <col min="7434" max="7434" width="66.140625" customWidth="1"/>
    <col min="7435" max="7435" width="12.85546875" customWidth="1"/>
    <col min="7436" max="7451" width="14.42578125" customWidth="1"/>
    <col min="7452" max="7452" width="17.85546875" bestFit="1" customWidth="1"/>
    <col min="7690" max="7690" width="66.140625" customWidth="1"/>
    <col min="7691" max="7691" width="12.85546875" customWidth="1"/>
    <col min="7692" max="7707" width="14.42578125" customWidth="1"/>
    <col min="7708" max="7708" width="17.85546875" bestFit="1" customWidth="1"/>
    <col min="7946" max="7946" width="66.140625" customWidth="1"/>
    <col min="7947" max="7947" width="12.85546875" customWidth="1"/>
    <col min="7948" max="7963" width="14.42578125" customWidth="1"/>
    <col min="7964" max="7964" width="17.85546875" bestFit="1" customWidth="1"/>
    <col min="8202" max="8202" width="66.140625" customWidth="1"/>
    <col min="8203" max="8203" width="12.85546875" customWidth="1"/>
    <col min="8204" max="8219" width="14.42578125" customWidth="1"/>
    <col min="8220" max="8220" width="17.85546875" bestFit="1" customWidth="1"/>
    <col min="8458" max="8458" width="66.140625" customWidth="1"/>
    <col min="8459" max="8459" width="12.85546875" customWidth="1"/>
    <col min="8460" max="8475" width="14.42578125" customWidth="1"/>
    <col min="8476" max="8476" width="17.85546875" bestFit="1" customWidth="1"/>
    <col min="8714" max="8714" width="66.140625" customWidth="1"/>
    <col min="8715" max="8715" width="12.85546875" customWidth="1"/>
    <col min="8716" max="8731" width="14.42578125" customWidth="1"/>
    <col min="8732" max="8732" width="17.85546875" bestFit="1" customWidth="1"/>
    <col min="8970" max="8970" width="66.140625" customWidth="1"/>
    <col min="8971" max="8971" width="12.85546875" customWidth="1"/>
    <col min="8972" max="8987" width="14.42578125" customWidth="1"/>
    <col min="8988" max="8988" width="17.85546875" bestFit="1" customWidth="1"/>
    <col min="9226" max="9226" width="66.140625" customWidth="1"/>
    <col min="9227" max="9227" width="12.85546875" customWidth="1"/>
    <col min="9228" max="9243" width="14.42578125" customWidth="1"/>
    <col min="9244" max="9244" width="17.85546875" bestFit="1" customWidth="1"/>
    <col min="9482" max="9482" width="66.140625" customWidth="1"/>
    <col min="9483" max="9483" width="12.85546875" customWidth="1"/>
    <col min="9484" max="9499" width="14.42578125" customWidth="1"/>
    <col min="9500" max="9500" width="17.85546875" bestFit="1" customWidth="1"/>
    <col min="9738" max="9738" width="66.140625" customWidth="1"/>
    <col min="9739" max="9739" width="12.85546875" customWidth="1"/>
    <col min="9740" max="9755" width="14.42578125" customWidth="1"/>
    <col min="9756" max="9756" width="17.85546875" bestFit="1" customWidth="1"/>
    <col min="9994" max="9994" width="66.140625" customWidth="1"/>
    <col min="9995" max="9995" width="12.85546875" customWidth="1"/>
    <col min="9996" max="10011" width="14.42578125" customWidth="1"/>
    <col min="10012" max="10012" width="17.85546875" bestFit="1" customWidth="1"/>
    <col min="10250" max="10250" width="66.140625" customWidth="1"/>
    <col min="10251" max="10251" width="12.85546875" customWidth="1"/>
    <col min="10252" max="10267" width="14.42578125" customWidth="1"/>
    <col min="10268" max="10268" width="17.85546875" bestFit="1" customWidth="1"/>
    <col min="10506" max="10506" width="66.140625" customWidth="1"/>
    <col min="10507" max="10507" width="12.85546875" customWidth="1"/>
    <col min="10508" max="10523" width="14.42578125" customWidth="1"/>
    <col min="10524" max="10524" width="17.85546875" bestFit="1" customWidth="1"/>
    <col min="10762" max="10762" width="66.140625" customWidth="1"/>
    <col min="10763" max="10763" width="12.85546875" customWidth="1"/>
    <col min="10764" max="10779" width="14.42578125" customWidth="1"/>
    <col min="10780" max="10780" width="17.85546875" bestFit="1" customWidth="1"/>
    <col min="11018" max="11018" width="66.140625" customWidth="1"/>
    <col min="11019" max="11019" width="12.85546875" customWidth="1"/>
    <col min="11020" max="11035" width="14.42578125" customWidth="1"/>
    <col min="11036" max="11036" width="17.85546875" bestFit="1" customWidth="1"/>
    <col min="11274" max="11274" width="66.140625" customWidth="1"/>
    <col min="11275" max="11275" width="12.85546875" customWidth="1"/>
    <col min="11276" max="11291" width="14.42578125" customWidth="1"/>
    <col min="11292" max="11292" width="17.85546875" bestFit="1" customWidth="1"/>
    <col min="11530" max="11530" width="66.140625" customWidth="1"/>
    <col min="11531" max="11531" width="12.85546875" customWidth="1"/>
    <col min="11532" max="11547" width="14.42578125" customWidth="1"/>
    <col min="11548" max="11548" width="17.85546875" bestFit="1" customWidth="1"/>
    <col min="11786" max="11786" width="66.140625" customWidth="1"/>
    <col min="11787" max="11787" width="12.85546875" customWidth="1"/>
    <col min="11788" max="11803" width="14.42578125" customWidth="1"/>
    <col min="11804" max="11804" width="17.85546875" bestFit="1" customWidth="1"/>
    <col min="12042" max="12042" width="66.140625" customWidth="1"/>
    <col min="12043" max="12043" width="12.85546875" customWidth="1"/>
    <col min="12044" max="12059" width="14.42578125" customWidth="1"/>
    <col min="12060" max="12060" width="17.85546875" bestFit="1" customWidth="1"/>
    <col min="12298" max="12298" width="66.140625" customWidth="1"/>
    <col min="12299" max="12299" width="12.85546875" customWidth="1"/>
    <col min="12300" max="12315" width="14.42578125" customWidth="1"/>
    <col min="12316" max="12316" width="17.85546875" bestFit="1" customWidth="1"/>
    <col min="12554" max="12554" width="66.140625" customWidth="1"/>
    <col min="12555" max="12555" width="12.85546875" customWidth="1"/>
    <col min="12556" max="12571" width="14.42578125" customWidth="1"/>
    <col min="12572" max="12572" width="17.85546875" bestFit="1" customWidth="1"/>
    <col min="12810" max="12810" width="66.140625" customWidth="1"/>
    <col min="12811" max="12811" width="12.85546875" customWidth="1"/>
    <col min="12812" max="12827" width="14.42578125" customWidth="1"/>
    <col min="12828" max="12828" width="17.85546875" bestFit="1" customWidth="1"/>
    <col min="13066" max="13066" width="66.140625" customWidth="1"/>
    <col min="13067" max="13067" width="12.85546875" customWidth="1"/>
    <col min="13068" max="13083" width="14.42578125" customWidth="1"/>
    <col min="13084" max="13084" width="17.85546875" bestFit="1" customWidth="1"/>
    <col min="13322" max="13322" width="66.140625" customWidth="1"/>
    <col min="13323" max="13323" width="12.85546875" customWidth="1"/>
    <col min="13324" max="13339" width="14.42578125" customWidth="1"/>
    <col min="13340" max="13340" width="17.85546875" bestFit="1" customWidth="1"/>
    <col min="13578" max="13578" width="66.140625" customWidth="1"/>
    <col min="13579" max="13579" width="12.85546875" customWidth="1"/>
    <col min="13580" max="13595" width="14.42578125" customWidth="1"/>
    <col min="13596" max="13596" width="17.85546875" bestFit="1" customWidth="1"/>
    <col min="13834" max="13834" width="66.140625" customWidth="1"/>
    <col min="13835" max="13835" width="12.85546875" customWidth="1"/>
    <col min="13836" max="13851" width="14.42578125" customWidth="1"/>
    <col min="13852" max="13852" width="17.85546875" bestFit="1" customWidth="1"/>
    <col min="14090" max="14090" width="66.140625" customWidth="1"/>
    <col min="14091" max="14091" width="12.85546875" customWidth="1"/>
    <col min="14092" max="14107" width="14.42578125" customWidth="1"/>
    <col min="14108" max="14108" width="17.85546875" bestFit="1" customWidth="1"/>
    <col min="14346" max="14346" width="66.140625" customWidth="1"/>
    <col min="14347" max="14347" width="12.85546875" customWidth="1"/>
    <col min="14348" max="14363" width="14.42578125" customWidth="1"/>
    <col min="14364" max="14364" width="17.85546875" bestFit="1" customWidth="1"/>
    <col min="14602" max="14602" width="66.140625" customWidth="1"/>
    <col min="14603" max="14603" width="12.85546875" customWidth="1"/>
    <col min="14604" max="14619" width="14.42578125" customWidth="1"/>
    <col min="14620" max="14620" width="17.85546875" bestFit="1" customWidth="1"/>
    <col min="14858" max="14858" width="66.140625" customWidth="1"/>
    <col min="14859" max="14859" width="12.85546875" customWidth="1"/>
    <col min="14860" max="14875" width="14.42578125" customWidth="1"/>
    <col min="14876" max="14876" width="17.85546875" bestFit="1" customWidth="1"/>
    <col min="15114" max="15114" width="66.140625" customWidth="1"/>
    <col min="15115" max="15115" width="12.85546875" customWidth="1"/>
    <col min="15116" max="15131" width="14.42578125" customWidth="1"/>
    <col min="15132" max="15132" width="17.85546875" bestFit="1" customWidth="1"/>
    <col min="15370" max="15370" width="66.140625" customWidth="1"/>
    <col min="15371" max="15371" width="12.85546875" customWidth="1"/>
    <col min="15372" max="15387" width="14.42578125" customWidth="1"/>
    <col min="15388" max="15388" width="17.85546875" bestFit="1" customWidth="1"/>
    <col min="15626" max="15626" width="66.140625" customWidth="1"/>
    <col min="15627" max="15627" width="12.85546875" customWidth="1"/>
    <col min="15628" max="15643" width="14.42578125" customWidth="1"/>
    <col min="15644" max="15644" width="17.85546875" bestFit="1" customWidth="1"/>
    <col min="15882" max="15882" width="66.140625" customWidth="1"/>
    <col min="15883" max="15883" width="12.85546875" customWidth="1"/>
    <col min="15884" max="15899" width="14.42578125" customWidth="1"/>
    <col min="15900" max="15900" width="17.85546875" bestFit="1" customWidth="1"/>
    <col min="16138" max="16138" width="66.140625" customWidth="1"/>
    <col min="16139" max="16139" width="12.85546875" customWidth="1"/>
    <col min="16140" max="16155" width="14.42578125" customWidth="1"/>
    <col min="16156" max="16156" width="17.85546875" bestFit="1" customWidth="1"/>
  </cols>
  <sheetData>
    <row r="1" spans="1:225" ht="20.25">
      <c r="A1" s="1" t="s">
        <v>0</v>
      </c>
      <c r="B1" s="2"/>
      <c r="C1" s="3" t="s">
        <v>1</v>
      </c>
      <c r="D1" s="4"/>
      <c r="E1" s="2"/>
      <c r="F1" s="2"/>
      <c r="G1" s="2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ht="20.25">
      <c r="A2" s="6" t="s">
        <v>2</v>
      </c>
      <c r="B2" s="2"/>
      <c r="C2" s="3" t="s">
        <v>3</v>
      </c>
      <c r="D2" s="4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</row>
    <row r="3" spans="1:225" ht="20.25">
      <c r="A3" s="1"/>
      <c r="B3" s="2"/>
      <c r="C3" s="8" t="s">
        <v>4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ht="15.75">
      <c r="A4" s="9" t="s">
        <v>5</v>
      </c>
      <c r="B4" s="2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ht="15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ht="15.75">
      <c r="A7" s="11" t="s">
        <v>7</v>
      </c>
      <c r="B7" s="2"/>
      <c r="C7" s="12">
        <v>2016</v>
      </c>
      <c r="D7" s="12">
        <f t="shared" ref="D7:AA7" si="0">(C7+1)</f>
        <v>2017</v>
      </c>
      <c r="E7" s="12">
        <f t="shared" si="0"/>
        <v>2018</v>
      </c>
      <c r="F7" s="12">
        <f t="shared" si="0"/>
        <v>2019</v>
      </c>
      <c r="G7" s="12">
        <f t="shared" si="0"/>
        <v>2020</v>
      </c>
      <c r="H7" s="12">
        <f t="shared" si="0"/>
        <v>2021</v>
      </c>
      <c r="I7" s="12">
        <f t="shared" si="0"/>
        <v>2022</v>
      </c>
      <c r="J7" s="12">
        <f t="shared" si="0"/>
        <v>2023</v>
      </c>
      <c r="K7" s="12">
        <f t="shared" si="0"/>
        <v>2024</v>
      </c>
      <c r="L7" s="12">
        <f>(K7+1)</f>
        <v>2025</v>
      </c>
      <c r="M7" s="12">
        <f t="shared" si="0"/>
        <v>2026</v>
      </c>
      <c r="N7" s="12">
        <f t="shared" si="0"/>
        <v>2027</v>
      </c>
      <c r="O7" s="12">
        <f t="shared" si="0"/>
        <v>2028</v>
      </c>
      <c r="P7" s="12">
        <f t="shared" si="0"/>
        <v>2029</v>
      </c>
      <c r="Q7" s="12">
        <f t="shared" si="0"/>
        <v>2030</v>
      </c>
      <c r="R7" s="12">
        <f t="shared" si="0"/>
        <v>2031</v>
      </c>
      <c r="S7" s="12">
        <f t="shared" si="0"/>
        <v>2032</v>
      </c>
      <c r="T7" s="12">
        <f t="shared" si="0"/>
        <v>2033</v>
      </c>
      <c r="U7" s="12">
        <f t="shared" si="0"/>
        <v>2034</v>
      </c>
      <c r="V7" s="12">
        <f t="shared" si="0"/>
        <v>2035</v>
      </c>
      <c r="W7" s="12">
        <f t="shared" si="0"/>
        <v>2036</v>
      </c>
      <c r="X7" s="12">
        <f t="shared" si="0"/>
        <v>2037</v>
      </c>
      <c r="Y7" s="12">
        <f t="shared" si="0"/>
        <v>2038</v>
      </c>
      <c r="Z7" s="12">
        <f t="shared" si="0"/>
        <v>2039</v>
      </c>
      <c r="AA7" s="12">
        <f t="shared" si="0"/>
        <v>2040</v>
      </c>
      <c r="AB7" s="13" t="s">
        <v>8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ht="15.75">
      <c r="A8" s="14" t="s">
        <v>9</v>
      </c>
      <c r="B8" s="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ht="15.75">
      <c r="A9" s="14" t="s">
        <v>10</v>
      </c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ht="15.75">
      <c r="A10" s="18" t="s">
        <v>11</v>
      </c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s="2" customFormat="1">
      <c r="A11" s="19" t="s">
        <v>12</v>
      </c>
      <c r="C11" s="17">
        <v>0</v>
      </c>
      <c r="D11" s="17">
        <f>10*200*365</f>
        <v>730000</v>
      </c>
      <c r="E11" s="17">
        <f>20*200*365</f>
        <v>1460000</v>
      </c>
      <c r="F11" s="17">
        <f>30*200*365</f>
        <v>2190000</v>
      </c>
      <c r="G11" s="17">
        <f>F11</f>
        <v>2190000</v>
      </c>
      <c r="H11" s="17">
        <f t="shared" ref="H11:AA11" si="1">G11</f>
        <v>2190000</v>
      </c>
      <c r="I11" s="17">
        <f t="shared" si="1"/>
        <v>2190000</v>
      </c>
      <c r="J11" s="17">
        <f t="shared" si="1"/>
        <v>2190000</v>
      </c>
      <c r="K11" s="17">
        <f t="shared" si="1"/>
        <v>2190000</v>
      </c>
      <c r="L11" s="17">
        <f t="shared" si="1"/>
        <v>2190000</v>
      </c>
      <c r="M11" s="17">
        <f t="shared" si="1"/>
        <v>2190000</v>
      </c>
      <c r="N11" s="17">
        <f t="shared" si="1"/>
        <v>2190000</v>
      </c>
      <c r="O11" s="17">
        <f t="shared" si="1"/>
        <v>2190000</v>
      </c>
      <c r="P11" s="17">
        <f t="shared" si="1"/>
        <v>2190000</v>
      </c>
      <c r="Q11" s="17">
        <f t="shared" si="1"/>
        <v>2190000</v>
      </c>
      <c r="R11" s="17">
        <f t="shared" si="1"/>
        <v>2190000</v>
      </c>
      <c r="S11" s="17">
        <f t="shared" si="1"/>
        <v>2190000</v>
      </c>
      <c r="T11" s="17">
        <f t="shared" si="1"/>
        <v>2190000</v>
      </c>
      <c r="U11" s="17">
        <f t="shared" si="1"/>
        <v>2190000</v>
      </c>
      <c r="V11" s="17">
        <f t="shared" si="1"/>
        <v>2190000</v>
      </c>
      <c r="W11" s="17">
        <f t="shared" si="1"/>
        <v>2190000</v>
      </c>
      <c r="X11" s="17">
        <f t="shared" si="1"/>
        <v>2190000</v>
      </c>
      <c r="Y11" s="17">
        <f t="shared" si="1"/>
        <v>2190000</v>
      </c>
      <c r="Z11" s="17">
        <f t="shared" si="1"/>
        <v>2190000</v>
      </c>
      <c r="AA11" s="17">
        <f t="shared" si="1"/>
        <v>2190000</v>
      </c>
      <c r="AB11" s="16">
        <f t="shared" ref="AB11:AB26" si="2">SUM(C11:AA11)</f>
        <v>50370000</v>
      </c>
    </row>
    <row r="12" spans="1:225" s="2" customFormat="1">
      <c r="A12" s="19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/>
    </row>
    <row r="13" spans="1:225" s="2" customFormat="1">
      <c r="A13" s="19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6"/>
    </row>
    <row r="14" spans="1:225" s="2" customFormat="1">
      <c r="A14" s="19" t="s">
        <v>15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6"/>
    </row>
    <row r="15" spans="1:225" s="2" customFormat="1">
      <c r="A15" s="1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6"/>
    </row>
    <row r="16" spans="1:225" s="2" customFormat="1">
      <c r="A16" s="19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6"/>
    </row>
    <row r="17" spans="1:225" s="2" customFormat="1">
      <c r="A17" s="19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225" s="2" customFormat="1">
      <c r="A18" s="19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f>10*44*365</f>
        <v>160600</v>
      </c>
      <c r="I18" s="17">
        <f>15*44*365</f>
        <v>240900</v>
      </c>
      <c r="J18" s="17">
        <f>I18</f>
        <v>240900</v>
      </c>
      <c r="K18" s="17">
        <f t="shared" ref="K18:AA18" si="3">J18</f>
        <v>240900</v>
      </c>
      <c r="L18" s="17">
        <f t="shared" si="3"/>
        <v>240900</v>
      </c>
      <c r="M18" s="17">
        <f t="shared" si="3"/>
        <v>240900</v>
      </c>
      <c r="N18" s="17">
        <f t="shared" si="3"/>
        <v>240900</v>
      </c>
      <c r="O18" s="17">
        <f t="shared" si="3"/>
        <v>240900</v>
      </c>
      <c r="P18" s="17">
        <f t="shared" si="3"/>
        <v>240900</v>
      </c>
      <c r="Q18" s="17">
        <f t="shared" si="3"/>
        <v>240900</v>
      </c>
      <c r="R18" s="17">
        <f t="shared" si="3"/>
        <v>240900</v>
      </c>
      <c r="S18" s="17">
        <f t="shared" si="3"/>
        <v>240900</v>
      </c>
      <c r="T18" s="17">
        <f t="shared" si="3"/>
        <v>240900</v>
      </c>
      <c r="U18" s="17">
        <f t="shared" si="3"/>
        <v>240900</v>
      </c>
      <c r="V18" s="17">
        <f t="shared" si="3"/>
        <v>240900</v>
      </c>
      <c r="W18" s="17">
        <f t="shared" si="3"/>
        <v>240900</v>
      </c>
      <c r="X18" s="17">
        <f t="shared" si="3"/>
        <v>240900</v>
      </c>
      <c r="Y18" s="17">
        <f t="shared" si="3"/>
        <v>240900</v>
      </c>
      <c r="Z18" s="17">
        <f t="shared" si="3"/>
        <v>240900</v>
      </c>
      <c r="AA18" s="17">
        <f t="shared" si="3"/>
        <v>240900</v>
      </c>
      <c r="AB18" s="16">
        <f t="shared" si="2"/>
        <v>4737700</v>
      </c>
    </row>
    <row r="19" spans="1:225" s="2" customFormat="1">
      <c r="A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6"/>
    </row>
    <row r="20" spans="1:225" s="2" customFormat="1">
      <c r="A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6"/>
    </row>
    <row r="21" spans="1:225" s="2" customFormat="1">
      <c r="A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6"/>
    </row>
    <row r="22" spans="1:225" s="2" customFormat="1">
      <c r="A22" s="19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>5*44*365</f>
        <v>80300</v>
      </c>
      <c r="K22" s="17">
        <f>15*44*365</f>
        <v>240900</v>
      </c>
      <c r="L22" s="17">
        <f t="shared" ref="L22:AA22" si="4">K22</f>
        <v>240900</v>
      </c>
      <c r="M22" s="17">
        <f t="shared" si="4"/>
        <v>240900</v>
      </c>
      <c r="N22" s="17">
        <f t="shared" si="4"/>
        <v>240900</v>
      </c>
      <c r="O22" s="17">
        <f t="shared" si="4"/>
        <v>240900</v>
      </c>
      <c r="P22" s="17">
        <f t="shared" si="4"/>
        <v>240900</v>
      </c>
      <c r="Q22" s="17">
        <f t="shared" si="4"/>
        <v>240900</v>
      </c>
      <c r="R22" s="17">
        <f t="shared" si="4"/>
        <v>240900</v>
      </c>
      <c r="S22" s="17">
        <f t="shared" si="4"/>
        <v>240900</v>
      </c>
      <c r="T22" s="17">
        <f t="shared" si="4"/>
        <v>240900</v>
      </c>
      <c r="U22" s="17">
        <f t="shared" si="4"/>
        <v>240900</v>
      </c>
      <c r="V22" s="17">
        <f t="shared" si="4"/>
        <v>240900</v>
      </c>
      <c r="W22" s="17">
        <f t="shared" si="4"/>
        <v>240900</v>
      </c>
      <c r="X22" s="17">
        <f t="shared" si="4"/>
        <v>240900</v>
      </c>
      <c r="Y22" s="17">
        <f t="shared" si="4"/>
        <v>240900</v>
      </c>
      <c r="Z22" s="17">
        <f t="shared" si="4"/>
        <v>240900</v>
      </c>
      <c r="AA22" s="17">
        <f t="shared" si="4"/>
        <v>240900</v>
      </c>
      <c r="AB22" s="16">
        <f t="shared" si="2"/>
        <v>4175600</v>
      </c>
    </row>
    <row r="23" spans="1:225" s="2" customFormat="1">
      <c r="A23" s="19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6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</row>
    <row r="24" spans="1:225" s="2" customFormat="1">
      <c r="A24" s="19"/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</row>
    <row r="25" spans="1:225" s="2" customFormat="1">
      <c r="A25" s="19" t="s">
        <v>19</v>
      </c>
      <c r="B25" s="20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-62110474.07</v>
      </c>
      <c r="L25" s="17">
        <v>-62110474.07</v>
      </c>
      <c r="M25" s="17">
        <v>-62110474.07</v>
      </c>
      <c r="N25" s="17">
        <v>-62110474.07</v>
      </c>
      <c r="O25" s="17">
        <v>-62110474.07</v>
      </c>
      <c r="P25" s="17">
        <v>-62110474.07</v>
      </c>
      <c r="Q25" s="17">
        <v>-62110474.07</v>
      </c>
      <c r="R25" s="17">
        <v>-62110474.07</v>
      </c>
      <c r="S25" s="17">
        <v>-62110474.07</v>
      </c>
      <c r="T25" s="17">
        <v>-62110474.07</v>
      </c>
      <c r="U25" s="17">
        <v>-62110474.07</v>
      </c>
      <c r="V25" s="17">
        <v>-62110474.07</v>
      </c>
      <c r="W25" s="17">
        <v>-62110474.07</v>
      </c>
      <c r="X25" s="17">
        <v>-62110474.07</v>
      </c>
      <c r="Y25" s="17">
        <v>-62110474.07</v>
      </c>
      <c r="Z25" s="17">
        <v>-62110474.07</v>
      </c>
      <c r="AA25" s="17">
        <v>-62110474.07</v>
      </c>
      <c r="AB25" s="16">
        <f t="shared" si="2"/>
        <v>-1055878059.1900004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</row>
    <row r="26" spans="1:225" s="2" customFormat="1">
      <c r="A26" s="19" t="s">
        <v>20</v>
      </c>
      <c r="B26" s="20"/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55592356.855000004</v>
      </c>
      <c r="L26" s="17">
        <v>55592356.855000004</v>
      </c>
      <c r="M26" s="17">
        <v>55592356.855000004</v>
      </c>
      <c r="N26" s="17">
        <v>55592356.855000004</v>
      </c>
      <c r="O26" s="17">
        <v>55592356.855000004</v>
      </c>
      <c r="P26" s="17">
        <v>55592356.855000004</v>
      </c>
      <c r="Q26" s="17">
        <v>55592356.855000004</v>
      </c>
      <c r="R26" s="17">
        <v>55592356.855000004</v>
      </c>
      <c r="S26" s="17">
        <v>55592356.855000004</v>
      </c>
      <c r="T26" s="17">
        <v>55592356.855000004</v>
      </c>
      <c r="U26" s="17">
        <v>55592356.855000004</v>
      </c>
      <c r="V26" s="17">
        <v>55592356.855000004</v>
      </c>
      <c r="W26" s="17">
        <v>55592356.855000004</v>
      </c>
      <c r="X26" s="17">
        <v>55592356.855000004</v>
      </c>
      <c r="Y26" s="17">
        <v>55592356.855000004</v>
      </c>
      <c r="Z26" s="17">
        <v>55592356.855000004</v>
      </c>
      <c r="AA26" s="17">
        <v>55592356.855000004</v>
      </c>
      <c r="AB26" s="21">
        <f t="shared" si="2"/>
        <v>945070066.53500021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</row>
    <row r="27" spans="1:225" s="4" customFormat="1" ht="15.75">
      <c r="A27" s="22" t="s">
        <v>21</v>
      </c>
      <c r="C27" s="23">
        <f>SUM(C9:C26)</f>
        <v>0</v>
      </c>
      <c r="D27" s="23">
        <f t="shared" ref="D27:AA27" si="5">SUM(D9:D26)</f>
        <v>730000</v>
      </c>
      <c r="E27" s="23">
        <f t="shared" si="5"/>
        <v>1460000</v>
      </c>
      <c r="F27" s="23">
        <f t="shared" si="5"/>
        <v>2190000</v>
      </c>
      <c r="G27" s="23">
        <f t="shared" si="5"/>
        <v>2190000</v>
      </c>
      <c r="H27" s="23">
        <f t="shared" si="5"/>
        <v>2350600</v>
      </c>
      <c r="I27" s="23">
        <f t="shared" si="5"/>
        <v>2430900</v>
      </c>
      <c r="J27" s="23">
        <f t="shared" si="5"/>
        <v>2511200</v>
      </c>
      <c r="K27" s="23">
        <f t="shared" si="5"/>
        <v>-3846317.2149999961</v>
      </c>
      <c r="L27" s="23">
        <f t="shared" si="5"/>
        <v>-3846317.2149999961</v>
      </c>
      <c r="M27" s="23">
        <f t="shared" si="5"/>
        <v>-3846317.2149999961</v>
      </c>
      <c r="N27" s="23">
        <f t="shared" si="5"/>
        <v>-3846317.2149999961</v>
      </c>
      <c r="O27" s="23">
        <f t="shared" si="5"/>
        <v>-3846317.2149999961</v>
      </c>
      <c r="P27" s="23">
        <f t="shared" si="5"/>
        <v>-3846317.2149999961</v>
      </c>
      <c r="Q27" s="23">
        <f t="shared" si="5"/>
        <v>-3846317.2149999961</v>
      </c>
      <c r="R27" s="23">
        <f t="shared" si="5"/>
        <v>-3846317.2149999961</v>
      </c>
      <c r="S27" s="23">
        <f t="shared" si="5"/>
        <v>-3846317.2149999961</v>
      </c>
      <c r="T27" s="23">
        <f t="shared" si="5"/>
        <v>-3846317.2149999961</v>
      </c>
      <c r="U27" s="23">
        <f t="shared" si="5"/>
        <v>-3846317.2149999961</v>
      </c>
      <c r="V27" s="23">
        <f t="shared" si="5"/>
        <v>-3846317.2149999961</v>
      </c>
      <c r="W27" s="23">
        <f t="shared" si="5"/>
        <v>-3846317.2149999961</v>
      </c>
      <c r="X27" s="23">
        <f t="shared" si="5"/>
        <v>-3846317.2149999961</v>
      </c>
      <c r="Y27" s="23">
        <f t="shared" si="5"/>
        <v>-3846317.2149999961</v>
      </c>
      <c r="Z27" s="23">
        <f t="shared" si="5"/>
        <v>-3846317.2149999961</v>
      </c>
      <c r="AA27" s="23">
        <f t="shared" si="5"/>
        <v>-3846317.2149999961</v>
      </c>
      <c r="AB27" s="24">
        <f>SUM(C27:AA27)</f>
        <v>-51524692.654999934</v>
      </c>
    </row>
    <row r="28" spans="1:225" s="2" customFormat="1">
      <c r="A28" s="25"/>
      <c r="B28" s="2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16"/>
    </row>
    <row r="29" spans="1:225" s="2" customFormat="1" ht="15.75">
      <c r="A29" s="22" t="s">
        <v>22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16"/>
    </row>
    <row r="30" spans="1:225" s="2" customFormat="1" ht="15.75">
      <c r="A30" s="28" t="s">
        <v>23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16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1:225" s="2" customFormat="1" ht="15.75">
      <c r="A31" s="29" t="s">
        <v>24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6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1:225" s="2" customFormat="1" ht="15.75">
      <c r="A32" s="30" t="s">
        <v>25</v>
      </c>
      <c r="C32" s="27"/>
      <c r="D32" s="27">
        <f>10*14.7*365</f>
        <v>53655</v>
      </c>
      <c r="E32" s="27">
        <f>20*14.7*365</f>
        <v>107310</v>
      </c>
      <c r="F32" s="27">
        <f>30*14.7*365</f>
        <v>160965</v>
      </c>
      <c r="G32" s="27">
        <f>F32</f>
        <v>160965</v>
      </c>
      <c r="H32" s="27">
        <f t="shared" ref="H32:AA32" si="6">G32</f>
        <v>160965</v>
      </c>
      <c r="I32" s="27">
        <f t="shared" si="6"/>
        <v>160965</v>
      </c>
      <c r="J32" s="27">
        <f t="shared" si="6"/>
        <v>160965</v>
      </c>
      <c r="K32" s="27">
        <f t="shared" si="6"/>
        <v>160965</v>
      </c>
      <c r="L32" s="27">
        <f t="shared" si="6"/>
        <v>160965</v>
      </c>
      <c r="M32" s="27">
        <f t="shared" si="6"/>
        <v>160965</v>
      </c>
      <c r="N32" s="27">
        <f t="shared" si="6"/>
        <v>160965</v>
      </c>
      <c r="O32" s="27">
        <f t="shared" si="6"/>
        <v>160965</v>
      </c>
      <c r="P32" s="27">
        <f t="shared" si="6"/>
        <v>160965</v>
      </c>
      <c r="Q32" s="27">
        <f t="shared" si="6"/>
        <v>160965</v>
      </c>
      <c r="R32" s="27">
        <f t="shared" si="6"/>
        <v>160965</v>
      </c>
      <c r="S32" s="27">
        <f t="shared" si="6"/>
        <v>160965</v>
      </c>
      <c r="T32" s="27">
        <f t="shared" si="6"/>
        <v>160965</v>
      </c>
      <c r="U32" s="27">
        <f t="shared" si="6"/>
        <v>160965</v>
      </c>
      <c r="V32" s="27">
        <f t="shared" si="6"/>
        <v>160965</v>
      </c>
      <c r="W32" s="27">
        <f t="shared" si="6"/>
        <v>160965</v>
      </c>
      <c r="X32" s="27">
        <f t="shared" si="6"/>
        <v>160965</v>
      </c>
      <c r="Y32" s="27">
        <f t="shared" si="6"/>
        <v>160965</v>
      </c>
      <c r="Z32" s="27">
        <f t="shared" si="6"/>
        <v>160965</v>
      </c>
      <c r="AA32" s="27">
        <f t="shared" si="6"/>
        <v>160965</v>
      </c>
      <c r="AB32" s="16">
        <f t="shared" ref="AB32:AB38" si="7">SUM(C32:AA32)</f>
        <v>3702195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1:225" s="2" customFormat="1" ht="15.75">
      <c r="A33" s="30" t="s">
        <v>26</v>
      </c>
      <c r="C33" s="27">
        <v>0</v>
      </c>
      <c r="D33" s="27">
        <f>10*40*365</f>
        <v>146000</v>
      </c>
      <c r="E33" s="27">
        <f>20*40*365</f>
        <v>292000</v>
      </c>
      <c r="F33" s="27">
        <f>30*40*365</f>
        <v>438000</v>
      </c>
      <c r="G33" s="27">
        <f t="shared" ref="G33:AA33" si="8">30*40*365</f>
        <v>438000</v>
      </c>
      <c r="H33" s="27">
        <f t="shared" si="8"/>
        <v>438000</v>
      </c>
      <c r="I33" s="27">
        <f t="shared" si="8"/>
        <v>438000</v>
      </c>
      <c r="J33" s="27">
        <f t="shared" si="8"/>
        <v>438000</v>
      </c>
      <c r="K33" s="27">
        <f t="shared" si="8"/>
        <v>438000</v>
      </c>
      <c r="L33" s="27">
        <f t="shared" si="8"/>
        <v>438000</v>
      </c>
      <c r="M33" s="27">
        <f t="shared" si="8"/>
        <v>438000</v>
      </c>
      <c r="N33" s="27">
        <f t="shared" si="8"/>
        <v>438000</v>
      </c>
      <c r="O33" s="27">
        <f t="shared" si="8"/>
        <v>438000</v>
      </c>
      <c r="P33" s="27">
        <f t="shared" si="8"/>
        <v>438000</v>
      </c>
      <c r="Q33" s="27">
        <f t="shared" si="8"/>
        <v>438000</v>
      </c>
      <c r="R33" s="27">
        <f t="shared" si="8"/>
        <v>438000</v>
      </c>
      <c r="S33" s="27">
        <f t="shared" si="8"/>
        <v>438000</v>
      </c>
      <c r="T33" s="27">
        <f t="shared" si="8"/>
        <v>438000</v>
      </c>
      <c r="U33" s="27">
        <f t="shared" si="8"/>
        <v>438000</v>
      </c>
      <c r="V33" s="27">
        <f t="shared" si="8"/>
        <v>438000</v>
      </c>
      <c r="W33" s="27">
        <f t="shared" si="8"/>
        <v>438000</v>
      </c>
      <c r="X33" s="27">
        <f t="shared" si="8"/>
        <v>438000</v>
      </c>
      <c r="Y33" s="27">
        <f t="shared" si="8"/>
        <v>438000</v>
      </c>
      <c r="Z33" s="27">
        <f t="shared" si="8"/>
        <v>438000</v>
      </c>
      <c r="AA33" s="27">
        <f t="shared" si="8"/>
        <v>438000</v>
      </c>
      <c r="AB33" s="16">
        <f t="shared" si="7"/>
        <v>10074000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1:225" s="2" customFormat="1" ht="15.75">
      <c r="A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16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1:225" s="2" customFormat="1" ht="15.75">
      <c r="A35" s="19" t="s">
        <v>27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-66778808.969999999</v>
      </c>
      <c r="L35" s="27">
        <v>-66778808.969999999</v>
      </c>
      <c r="M35" s="27">
        <v>-66778808.969999999</v>
      </c>
      <c r="N35" s="27">
        <v>-66778808.969999999</v>
      </c>
      <c r="O35" s="27">
        <v>-66778808.969999999</v>
      </c>
      <c r="P35" s="27">
        <v>-66778808.969999999</v>
      </c>
      <c r="Q35" s="27">
        <v>-66778808.969999999</v>
      </c>
      <c r="R35" s="27">
        <v>-66778808.969999999</v>
      </c>
      <c r="S35" s="27">
        <v>-66778808.969999999</v>
      </c>
      <c r="T35" s="27">
        <v>-66778808.969999999</v>
      </c>
      <c r="U35" s="27">
        <v>-66778808.969999999</v>
      </c>
      <c r="V35" s="27">
        <v>-66778808.969999999</v>
      </c>
      <c r="W35" s="27">
        <v>-66778808.969999999</v>
      </c>
      <c r="X35" s="27">
        <v>-66778808.969999999</v>
      </c>
      <c r="Y35" s="27">
        <v>-66778808.969999999</v>
      </c>
      <c r="Z35" s="27">
        <v>-66778808.969999999</v>
      </c>
      <c r="AA35" s="27">
        <v>-66778808.969999999</v>
      </c>
      <c r="AB35" s="16">
        <f t="shared" si="7"/>
        <v>-1135239752.4900002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1:225" s="2" customFormat="1" ht="15.75">
      <c r="A36" s="19" t="s">
        <v>28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60271730.896000005</v>
      </c>
      <c r="L36" s="27">
        <f>K36</f>
        <v>60271730.896000005</v>
      </c>
      <c r="M36" s="27">
        <f t="shared" ref="M36:AA36" si="9">L36</f>
        <v>60271730.896000005</v>
      </c>
      <c r="N36" s="27">
        <f t="shared" si="9"/>
        <v>60271730.896000005</v>
      </c>
      <c r="O36" s="27">
        <f t="shared" si="9"/>
        <v>60271730.896000005</v>
      </c>
      <c r="P36" s="27">
        <f t="shared" si="9"/>
        <v>60271730.896000005</v>
      </c>
      <c r="Q36" s="27">
        <f t="shared" si="9"/>
        <v>60271730.896000005</v>
      </c>
      <c r="R36" s="27">
        <f t="shared" si="9"/>
        <v>60271730.896000005</v>
      </c>
      <c r="S36" s="27">
        <f t="shared" si="9"/>
        <v>60271730.896000005</v>
      </c>
      <c r="T36" s="27">
        <f t="shared" si="9"/>
        <v>60271730.896000005</v>
      </c>
      <c r="U36" s="27">
        <f t="shared" si="9"/>
        <v>60271730.896000005</v>
      </c>
      <c r="V36" s="27">
        <f t="shared" si="9"/>
        <v>60271730.896000005</v>
      </c>
      <c r="W36" s="27">
        <f t="shared" si="9"/>
        <v>60271730.896000005</v>
      </c>
      <c r="X36" s="27">
        <f t="shared" si="9"/>
        <v>60271730.896000005</v>
      </c>
      <c r="Y36" s="27">
        <f t="shared" si="9"/>
        <v>60271730.896000005</v>
      </c>
      <c r="Z36" s="27">
        <f t="shared" si="9"/>
        <v>60271730.896000005</v>
      </c>
      <c r="AA36" s="27">
        <f t="shared" si="9"/>
        <v>60271730.896000005</v>
      </c>
      <c r="AB36" s="16">
        <f t="shared" si="7"/>
        <v>1024619425.2320004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</row>
    <row r="37" spans="1:225" s="2" customFormat="1" ht="15.75">
      <c r="A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16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1:225" s="2" customFormat="1" ht="15.75">
      <c r="A38" s="29" t="s">
        <v>29</v>
      </c>
      <c r="B38" s="31"/>
      <c r="C38" s="32">
        <v>535842</v>
      </c>
      <c r="D38" s="32">
        <f>C38</f>
        <v>535842</v>
      </c>
      <c r="E38" s="32">
        <f t="shared" ref="E38:K38" si="10">D38</f>
        <v>535842</v>
      </c>
      <c r="F38" s="32">
        <f t="shared" si="10"/>
        <v>535842</v>
      </c>
      <c r="G38" s="32">
        <f t="shared" si="10"/>
        <v>535842</v>
      </c>
      <c r="H38" s="32">
        <f t="shared" si="10"/>
        <v>535842</v>
      </c>
      <c r="I38" s="32">
        <f t="shared" si="10"/>
        <v>535842</v>
      </c>
      <c r="J38" s="32">
        <f t="shared" si="10"/>
        <v>535842</v>
      </c>
      <c r="K38" s="32">
        <f t="shared" si="10"/>
        <v>535842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16">
        <f t="shared" si="7"/>
        <v>4822578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</row>
    <row r="39" spans="1:225" s="2" customFormat="1" ht="15.75">
      <c r="A39" s="33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21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1:225" s="4" customFormat="1" ht="15.75">
      <c r="A40" s="22" t="s">
        <v>30</v>
      </c>
      <c r="C40" s="23">
        <f>SUM(C29:C39)</f>
        <v>535842</v>
      </c>
      <c r="D40" s="23">
        <f t="shared" ref="D40:Z40" si="11">SUM(D29:D39)</f>
        <v>735497</v>
      </c>
      <c r="E40" s="23">
        <f t="shared" si="11"/>
        <v>935152</v>
      </c>
      <c r="F40" s="23">
        <f t="shared" si="11"/>
        <v>1134807</v>
      </c>
      <c r="G40" s="23">
        <f t="shared" si="11"/>
        <v>1134807</v>
      </c>
      <c r="H40" s="23">
        <f t="shared" si="11"/>
        <v>1134807</v>
      </c>
      <c r="I40" s="23">
        <f t="shared" si="11"/>
        <v>1134807</v>
      </c>
      <c r="J40" s="23">
        <f t="shared" si="11"/>
        <v>1134807</v>
      </c>
      <c r="K40" s="23">
        <f t="shared" si="11"/>
        <v>-5372271.0739999935</v>
      </c>
      <c r="L40" s="23">
        <f t="shared" si="11"/>
        <v>-5908113.0739999935</v>
      </c>
      <c r="M40" s="23">
        <f t="shared" si="11"/>
        <v>-5908113.0739999935</v>
      </c>
      <c r="N40" s="23">
        <f t="shared" si="11"/>
        <v>-5908113.0739999935</v>
      </c>
      <c r="O40" s="23">
        <f t="shared" si="11"/>
        <v>-5908113.0739999935</v>
      </c>
      <c r="P40" s="23">
        <f t="shared" si="11"/>
        <v>-5908113.0739999935</v>
      </c>
      <c r="Q40" s="23">
        <f t="shared" si="11"/>
        <v>-5908113.0739999935</v>
      </c>
      <c r="R40" s="23">
        <f t="shared" si="11"/>
        <v>-5908113.0739999935</v>
      </c>
      <c r="S40" s="23">
        <f t="shared" si="11"/>
        <v>-5908113.0739999935</v>
      </c>
      <c r="T40" s="23">
        <f t="shared" si="11"/>
        <v>-5908113.0739999935</v>
      </c>
      <c r="U40" s="23">
        <f t="shared" si="11"/>
        <v>-5908113.0739999935</v>
      </c>
      <c r="V40" s="23">
        <f t="shared" si="11"/>
        <v>-5908113.0739999935</v>
      </c>
      <c r="W40" s="23">
        <f t="shared" si="11"/>
        <v>-5908113.0739999935</v>
      </c>
      <c r="X40" s="23">
        <f t="shared" si="11"/>
        <v>-5908113.0739999935</v>
      </c>
      <c r="Y40" s="23">
        <f t="shared" si="11"/>
        <v>-5908113.0739999935</v>
      </c>
      <c r="Z40" s="23">
        <f t="shared" si="11"/>
        <v>-5908113.0739999935</v>
      </c>
      <c r="AA40" s="23">
        <f>SUM(AA29:AA39)</f>
        <v>-5908113.0739999935</v>
      </c>
      <c r="AB40" s="24">
        <f>SUM(C40:AA40)</f>
        <v>-92021554.257999927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</row>
    <row r="41" spans="1:225" s="2" customFormat="1" ht="15.75">
      <c r="A41" s="35"/>
      <c r="B41" s="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</row>
    <row r="42" spans="1:225" s="2" customFormat="1" ht="15.75">
      <c r="A42" s="22" t="s">
        <v>31</v>
      </c>
      <c r="B42" s="4"/>
      <c r="C42" s="38">
        <f>(C27-C40)</f>
        <v>-535842</v>
      </c>
      <c r="D42" s="38">
        <f t="shared" ref="D42:AA42" si="12">(D27-D40)</f>
        <v>-5497</v>
      </c>
      <c r="E42" s="38">
        <f t="shared" si="12"/>
        <v>524848</v>
      </c>
      <c r="F42" s="38">
        <f t="shared" si="12"/>
        <v>1055193</v>
      </c>
      <c r="G42" s="38">
        <f t="shared" si="12"/>
        <v>1055193</v>
      </c>
      <c r="H42" s="38">
        <f t="shared" si="12"/>
        <v>1215793</v>
      </c>
      <c r="I42" s="38">
        <f t="shared" si="12"/>
        <v>1296093</v>
      </c>
      <c r="J42" s="38">
        <f t="shared" si="12"/>
        <v>1376393</v>
      </c>
      <c r="K42" s="38">
        <f t="shared" si="12"/>
        <v>1525953.8589999974</v>
      </c>
      <c r="L42" s="38">
        <f t="shared" si="12"/>
        <v>2061795.8589999974</v>
      </c>
      <c r="M42" s="38">
        <f t="shared" si="12"/>
        <v>2061795.8589999974</v>
      </c>
      <c r="N42" s="38">
        <f t="shared" si="12"/>
        <v>2061795.8589999974</v>
      </c>
      <c r="O42" s="38">
        <f t="shared" si="12"/>
        <v>2061795.8589999974</v>
      </c>
      <c r="P42" s="38">
        <f t="shared" si="12"/>
        <v>2061795.8589999974</v>
      </c>
      <c r="Q42" s="38">
        <f t="shared" si="12"/>
        <v>2061795.8589999974</v>
      </c>
      <c r="R42" s="38">
        <f t="shared" si="12"/>
        <v>2061795.8589999974</v>
      </c>
      <c r="S42" s="38">
        <f t="shared" si="12"/>
        <v>2061795.8589999974</v>
      </c>
      <c r="T42" s="38">
        <f t="shared" si="12"/>
        <v>2061795.8589999974</v>
      </c>
      <c r="U42" s="38">
        <f t="shared" si="12"/>
        <v>2061795.8589999974</v>
      </c>
      <c r="V42" s="38">
        <f t="shared" si="12"/>
        <v>2061795.8589999974</v>
      </c>
      <c r="W42" s="38">
        <f t="shared" si="12"/>
        <v>2061795.8589999974</v>
      </c>
      <c r="X42" s="38">
        <f t="shared" si="12"/>
        <v>2061795.8589999974</v>
      </c>
      <c r="Y42" s="38">
        <f t="shared" si="12"/>
        <v>2061795.8589999974</v>
      </c>
      <c r="Z42" s="38">
        <f t="shared" si="12"/>
        <v>2061795.8589999974</v>
      </c>
      <c r="AA42" s="38">
        <f t="shared" si="12"/>
        <v>2061795.8589999974</v>
      </c>
      <c r="AB42" s="39">
        <f>SUM(C42:AA42)</f>
        <v>40496861.602999955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</row>
    <row r="43" spans="1:225" s="2" customFormat="1" ht="15.75">
      <c r="A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6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1:225" s="2" customFormat="1" ht="15.75">
      <c r="A44" s="41" t="s">
        <v>32</v>
      </c>
      <c r="B44" s="2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16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</row>
    <row r="45" spans="1:225" s="2" customFormat="1" ht="15.75">
      <c r="A45" s="42" t="s">
        <v>33</v>
      </c>
      <c r="B45" s="20"/>
      <c r="C45" s="17">
        <v>-5250000</v>
      </c>
      <c r="D45" s="17">
        <v>-4500000</v>
      </c>
      <c r="E45" s="17">
        <v>-4750000</v>
      </c>
      <c r="F45" s="17">
        <v>-556304</v>
      </c>
      <c r="G45" s="17"/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6">
        <f t="shared" ref="AB45:AB47" si="13">SUM(C45:AA45)</f>
        <v>-15056304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</row>
    <row r="46" spans="1:225" s="2" customFormat="1" ht="15.75">
      <c r="A46" s="42" t="s">
        <v>34</v>
      </c>
      <c r="B46" s="20"/>
      <c r="C46" s="17">
        <v>0</v>
      </c>
      <c r="D46" s="17">
        <v>0</v>
      </c>
      <c r="E46" s="17">
        <v>0</v>
      </c>
      <c r="F46" s="17">
        <v>-721848</v>
      </c>
      <c r="G46" s="17">
        <v>-1270000</v>
      </c>
      <c r="H46" s="17">
        <v>-1270978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6">
        <f t="shared" si="13"/>
        <v>-3262826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</row>
    <row r="47" spans="1:225" s="2" customFormat="1" ht="15.75">
      <c r="A47" s="42" t="s">
        <v>35</v>
      </c>
      <c r="B47" s="20"/>
      <c r="C47" s="17">
        <v>0</v>
      </c>
      <c r="D47" s="17">
        <v>0</v>
      </c>
      <c r="E47" s="17">
        <v>0</v>
      </c>
      <c r="F47" s="17">
        <v>-721848</v>
      </c>
      <c r="G47" s="17">
        <v>-319022</v>
      </c>
      <c r="H47" s="17">
        <v>0</v>
      </c>
      <c r="I47" s="17">
        <v>-1820000</v>
      </c>
      <c r="J47" s="17">
        <v>-1820000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6">
        <f t="shared" si="13"/>
        <v>-4680870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</row>
    <row r="48" spans="1:225" s="2" customFormat="1" ht="15.75">
      <c r="A48" s="43"/>
      <c r="B48" s="1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21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</row>
    <row r="49" spans="1:225" s="2" customFormat="1" ht="15.75">
      <c r="A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16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</row>
    <row r="50" spans="1:225" s="2" customFormat="1" ht="15.75">
      <c r="A50" s="11" t="s">
        <v>36</v>
      </c>
      <c r="B50" s="4"/>
      <c r="C50" s="38">
        <f>SUM(C44:C48)</f>
        <v>-5250000</v>
      </c>
      <c r="D50" s="38">
        <f t="shared" ref="D50:AA50" si="14">SUM(D44:D48)</f>
        <v>-4500000</v>
      </c>
      <c r="E50" s="38">
        <f t="shared" si="14"/>
        <v>-4750000</v>
      </c>
      <c r="F50" s="38">
        <f t="shared" si="14"/>
        <v>-2000000</v>
      </c>
      <c r="G50" s="38">
        <f t="shared" si="14"/>
        <v>-1589022</v>
      </c>
      <c r="H50" s="38">
        <f t="shared" si="14"/>
        <v>-1270978</v>
      </c>
      <c r="I50" s="38">
        <f t="shared" si="14"/>
        <v>-1820000</v>
      </c>
      <c r="J50" s="38">
        <f t="shared" si="14"/>
        <v>-1820000</v>
      </c>
      <c r="K50" s="38">
        <f t="shared" si="14"/>
        <v>0</v>
      </c>
      <c r="L50" s="38">
        <f t="shared" si="14"/>
        <v>0</v>
      </c>
      <c r="M50" s="38">
        <f t="shared" si="14"/>
        <v>0</v>
      </c>
      <c r="N50" s="38">
        <f t="shared" si="14"/>
        <v>0</v>
      </c>
      <c r="O50" s="38">
        <f t="shared" si="14"/>
        <v>0</v>
      </c>
      <c r="P50" s="38">
        <f t="shared" si="14"/>
        <v>0</v>
      </c>
      <c r="Q50" s="38">
        <f t="shared" si="14"/>
        <v>0</v>
      </c>
      <c r="R50" s="38">
        <f t="shared" si="14"/>
        <v>0</v>
      </c>
      <c r="S50" s="38">
        <f t="shared" si="14"/>
        <v>0</v>
      </c>
      <c r="T50" s="38">
        <f t="shared" si="14"/>
        <v>0</v>
      </c>
      <c r="U50" s="38">
        <f t="shared" si="14"/>
        <v>0</v>
      </c>
      <c r="V50" s="38">
        <f t="shared" si="14"/>
        <v>0</v>
      </c>
      <c r="W50" s="38">
        <f t="shared" si="14"/>
        <v>0</v>
      </c>
      <c r="X50" s="38">
        <f t="shared" si="14"/>
        <v>0</v>
      </c>
      <c r="Y50" s="38">
        <f t="shared" si="14"/>
        <v>0</v>
      </c>
      <c r="Z50" s="38">
        <f t="shared" si="14"/>
        <v>0</v>
      </c>
      <c r="AA50" s="38">
        <f t="shared" si="14"/>
        <v>0</v>
      </c>
      <c r="AB50" s="39">
        <f>SUM(C50:AA50)</f>
        <v>-23000000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</row>
    <row r="51" spans="1:225" s="2" customFormat="1" ht="15.75">
      <c r="A51" s="45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16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</row>
    <row r="52" spans="1:225" s="2" customFormat="1" ht="15.75">
      <c r="A52" s="45" t="s">
        <v>37</v>
      </c>
      <c r="C52" s="38">
        <f>C42+C50</f>
        <v>-5785842</v>
      </c>
      <c r="D52" s="38">
        <f>C52+D50+D42</f>
        <v>-10291339</v>
      </c>
      <c r="E52" s="38">
        <f t="shared" ref="E52:AA52" si="15">D52+E50+E42</f>
        <v>-14516491</v>
      </c>
      <c r="F52" s="38">
        <f t="shared" si="15"/>
        <v>-15461298</v>
      </c>
      <c r="G52" s="38">
        <f t="shared" si="15"/>
        <v>-15995127</v>
      </c>
      <c r="H52" s="38">
        <f t="shared" si="15"/>
        <v>-16050312</v>
      </c>
      <c r="I52" s="38">
        <f t="shared" si="15"/>
        <v>-16574219</v>
      </c>
      <c r="J52" s="38">
        <f t="shared" si="15"/>
        <v>-17017826</v>
      </c>
      <c r="K52" s="38">
        <f t="shared" si="15"/>
        <v>-15491872.141000003</v>
      </c>
      <c r="L52" s="38">
        <f t="shared" si="15"/>
        <v>-13430076.282000005</v>
      </c>
      <c r="M52" s="38">
        <f t="shared" si="15"/>
        <v>-11368280.423000008</v>
      </c>
      <c r="N52" s="38">
        <f t="shared" si="15"/>
        <v>-9306484.5640000105</v>
      </c>
      <c r="O52" s="38">
        <f t="shared" si="15"/>
        <v>-7244688.7050000131</v>
      </c>
      <c r="P52" s="38">
        <f t="shared" si="15"/>
        <v>-5182892.8460000157</v>
      </c>
      <c r="Q52" s="38">
        <f t="shared" si="15"/>
        <v>-3121096.9870000184</v>
      </c>
      <c r="R52" s="38">
        <f t="shared" si="15"/>
        <v>-1059301.128000021</v>
      </c>
      <c r="S52" s="38">
        <f t="shared" si="15"/>
        <v>1002494.7309999764</v>
      </c>
      <c r="T52" s="38">
        <f t="shared" si="15"/>
        <v>3064290.5899999738</v>
      </c>
      <c r="U52" s="38">
        <f t="shared" si="15"/>
        <v>5126086.4489999712</v>
      </c>
      <c r="V52" s="38">
        <f t="shared" si="15"/>
        <v>7187882.3079999685</v>
      </c>
      <c r="W52" s="38">
        <f t="shared" si="15"/>
        <v>9249678.1669999659</v>
      </c>
      <c r="X52" s="38">
        <f t="shared" si="15"/>
        <v>11311474.025999963</v>
      </c>
      <c r="Y52" s="38">
        <f t="shared" si="15"/>
        <v>13373269.884999961</v>
      </c>
      <c r="Z52" s="38">
        <f t="shared" si="15"/>
        <v>15435065.743999958</v>
      </c>
      <c r="AA52" s="46">
        <f t="shared" si="15"/>
        <v>17496861.602999955</v>
      </c>
      <c r="AB52" s="24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</row>
    <row r="53" spans="1:225" s="2" customFormat="1" ht="15.75">
      <c r="A53" s="45"/>
      <c r="C53" s="27"/>
      <c r="D53" s="31"/>
      <c r="E53" s="31"/>
      <c r="F53" s="47"/>
      <c r="G53" s="47"/>
      <c r="H53" s="47"/>
      <c r="I53" s="47"/>
      <c r="J53" s="47"/>
      <c r="K53" s="47"/>
      <c r="L53" s="47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16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</row>
    <row r="54" spans="1:225" s="2" customFormat="1" ht="15.75">
      <c r="A54" s="45"/>
      <c r="C54" s="27"/>
      <c r="D54" s="31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</row>
    <row r="55" spans="1:225" s="2" customFormat="1" ht="15.75" hidden="1">
      <c r="A55" s="45" t="s">
        <v>38</v>
      </c>
      <c r="C55" s="27">
        <v>0</v>
      </c>
      <c r="D55" s="27"/>
      <c r="E55" s="27"/>
      <c r="F55" s="27"/>
      <c r="G55" s="27"/>
      <c r="H55" s="27"/>
      <c r="I55" s="27"/>
      <c r="J55" s="27"/>
      <c r="K55" s="27"/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/>
      <c r="T55" s="27"/>
      <c r="U55" s="27"/>
      <c r="V55" s="27"/>
      <c r="W55" s="27"/>
      <c r="X55" s="27"/>
      <c r="Y55" s="27"/>
      <c r="Z55" s="27"/>
      <c r="AA55" s="27"/>
      <c r="AB55" s="27">
        <f>SUM(C55:R55)</f>
        <v>0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</row>
    <row r="56" spans="1:225" s="2" customFormat="1" ht="15.75" hidden="1">
      <c r="A56" s="4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</row>
    <row r="57" spans="1:225" s="2" customFormat="1" ht="15.75" hidden="1">
      <c r="A57" s="45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</row>
    <row r="58" spans="1:225" s="2" customFormat="1" ht="15.75" hidden="1">
      <c r="A58" s="45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</row>
    <row r="59" spans="1:225" s="2" customFormat="1" ht="15.75" hidden="1">
      <c r="A59" s="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</row>
    <row r="60" spans="1:225" s="2" customFormat="1" ht="15.75" hidden="1">
      <c r="A60" s="45" t="s">
        <v>39</v>
      </c>
      <c r="B60" s="2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</row>
    <row r="61" spans="1:225" s="2" customFormat="1" ht="15.75" hidden="1">
      <c r="A61" s="43"/>
      <c r="B61" s="20"/>
      <c r="C61" s="27"/>
      <c r="D61" s="27"/>
      <c r="E61" s="32"/>
      <c r="F61" s="32"/>
      <c r="G61" s="32"/>
      <c r="H61" s="32"/>
      <c r="I61" s="32"/>
      <c r="J61" s="32"/>
      <c r="K61" s="32"/>
      <c r="L61" s="32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</row>
    <row r="62" spans="1:225" s="2" customFormat="1" ht="15.75" hidden="1">
      <c r="A62" s="48" t="s">
        <v>40</v>
      </c>
      <c r="B62" s="15"/>
      <c r="C62" s="32">
        <f t="shared" ref="C62:R62" si="16">C110</f>
        <v>0</v>
      </c>
      <c r="D62" s="32"/>
      <c r="E62" s="32"/>
      <c r="F62" s="32"/>
      <c r="G62" s="32"/>
      <c r="H62" s="32"/>
      <c r="I62" s="32"/>
      <c r="J62" s="32"/>
      <c r="K62" s="32"/>
      <c r="L62" s="32">
        <f t="shared" si="16"/>
        <v>0</v>
      </c>
      <c r="M62" s="32">
        <f t="shared" si="16"/>
        <v>227318</v>
      </c>
      <c r="N62" s="32">
        <f t="shared" si="16"/>
        <v>162526</v>
      </c>
      <c r="O62" s="32">
        <f t="shared" si="16"/>
        <v>162344</v>
      </c>
      <c r="P62" s="32">
        <f t="shared" si="16"/>
        <v>162526</v>
      </c>
      <c r="Q62" s="32">
        <f t="shared" si="16"/>
        <v>81172</v>
      </c>
      <c r="R62" s="32">
        <f t="shared" si="16"/>
        <v>0</v>
      </c>
      <c r="S62" s="32"/>
      <c r="T62" s="32"/>
      <c r="U62" s="32"/>
      <c r="V62" s="32"/>
      <c r="W62" s="32"/>
      <c r="X62" s="32"/>
      <c r="Y62" s="32"/>
      <c r="Z62" s="32"/>
      <c r="AA62" s="32"/>
      <c r="AB62" s="2">
        <f>SUM(C62:R62)</f>
        <v>795886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</row>
    <row r="63" spans="1:225" s="2" customFormat="1" ht="15.75" hidden="1">
      <c r="A63" s="45" t="s">
        <v>41</v>
      </c>
      <c r="C63" s="27">
        <v>0</v>
      </c>
      <c r="D63" s="27"/>
      <c r="E63" s="27"/>
      <c r="F63" s="27"/>
      <c r="G63" s="27"/>
      <c r="H63" s="27"/>
      <c r="I63" s="27"/>
      <c r="J63" s="27"/>
      <c r="K63" s="27"/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/>
      <c r="T63" s="27"/>
      <c r="U63" s="27"/>
      <c r="V63" s="27"/>
      <c r="W63" s="27"/>
      <c r="X63" s="27"/>
      <c r="Y63" s="27"/>
      <c r="Z63" s="27"/>
      <c r="AA63" s="27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1:225" s="2" customFormat="1" ht="15.75" hidden="1">
      <c r="A64" s="49" t="s">
        <v>42</v>
      </c>
      <c r="B64" s="31"/>
      <c r="C64" s="50">
        <f t="shared" ref="C64:R64" si="17">SUM(C61:C63)</f>
        <v>0</v>
      </c>
      <c r="D64" s="50"/>
      <c r="E64" s="50"/>
      <c r="F64" s="50"/>
      <c r="G64" s="50"/>
      <c r="H64" s="50"/>
      <c r="I64" s="50"/>
      <c r="J64" s="50"/>
      <c r="K64" s="50"/>
      <c r="L64" s="50">
        <f t="shared" si="17"/>
        <v>0</v>
      </c>
      <c r="M64" s="50">
        <f t="shared" si="17"/>
        <v>227318</v>
      </c>
      <c r="N64" s="50">
        <f t="shared" si="17"/>
        <v>162526</v>
      </c>
      <c r="O64" s="50">
        <f t="shared" si="17"/>
        <v>162344</v>
      </c>
      <c r="P64" s="50">
        <f t="shared" si="17"/>
        <v>162526</v>
      </c>
      <c r="Q64" s="50">
        <f t="shared" si="17"/>
        <v>81172</v>
      </c>
      <c r="R64" s="50">
        <f t="shared" si="17"/>
        <v>0</v>
      </c>
      <c r="S64" s="51"/>
      <c r="T64" s="51"/>
      <c r="U64" s="51"/>
      <c r="V64" s="51"/>
      <c r="W64" s="51"/>
      <c r="X64" s="51"/>
      <c r="Y64" s="51"/>
      <c r="Z64" s="51"/>
      <c r="AA64" s="51"/>
      <c r="AB64" s="2">
        <f>SUM(C64:R64)</f>
        <v>795886</v>
      </c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1:225" s="2" customFormat="1" ht="15.75" hidden="1">
      <c r="A65" s="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1:225" s="2" customFormat="1" ht="15.75" hidden="1">
      <c r="A66" s="45" t="s">
        <v>43</v>
      </c>
      <c r="B66" s="20"/>
      <c r="C66" s="26">
        <f>C42-C64-C63</f>
        <v>-535842</v>
      </c>
      <c r="D66" s="26"/>
      <c r="E66" s="26"/>
      <c r="F66" s="26"/>
      <c r="G66" s="26"/>
      <c r="H66" s="26"/>
      <c r="I66" s="26"/>
      <c r="J66" s="26"/>
      <c r="K66" s="26"/>
      <c r="L66" s="26">
        <f t="shared" ref="L66:R66" si="18">L42-L64</f>
        <v>2061795.8589999974</v>
      </c>
      <c r="M66" s="26">
        <f t="shared" si="18"/>
        <v>1834477.8589999974</v>
      </c>
      <c r="N66" s="26">
        <f t="shared" si="18"/>
        <v>1899269.8589999974</v>
      </c>
      <c r="O66" s="26">
        <f t="shared" si="18"/>
        <v>1899451.8589999974</v>
      </c>
      <c r="P66" s="26">
        <f t="shared" si="18"/>
        <v>1899269.8589999974</v>
      </c>
      <c r="Q66" s="26">
        <f t="shared" si="18"/>
        <v>1980623.8589999974</v>
      </c>
      <c r="R66" s="26">
        <f t="shared" si="18"/>
        <v>2061795.8589999974</v>
      </c>
      <c r="S66" s="26"/>
      <c r="T66" s="26"/>
      <c r="U66" s="26"/>
      <c r="V66" s="26"/>
      <c r="W66" s="26"/>
      <c r="X66" s="26"/>
      <c r="Y66" s="26"/>
      <c r="Z66" s="26"/>
      <c r="AA66" s="26"/>
      <c r="AB66" s="2">
        <f>SUM(C66:R66)</f>
        <v>13100843.012999982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1:225" s="2" customFormat="1" ht="15.75" hidden="1">
      <c r="A67" s="1"/>
      <c r="B67" s="20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</row>
    <row r="68" spans="1:225" s="2" customFormat="1" ht="15.75" hidden="1">
      <c r="A68" s="43" t="s">
        <v>44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3"/>
      <c r="T68" s="53"/>
      <c r="U68" s="53"/>
      <c r="V68" s="53"/>
      <c r="W68" s="53"/>
      <c r="X68" s="53"/>
      <c r="Y68" s="53"/>
      <c r="Z68" s="53"/>
      <c r="AA68" s="53"/>
      <c r="AB68" s="2">
        <f>SUM(C68:R68)</f>
        <v>0</v>
      </c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</row>
    <row r="69" spans="1:225" s="2" customFormat="1" ht="15.75" hidden="1">
      <c r="A69" s="1"/>
      <c r="B69" s="2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</row>
    <row r="70" spans="1:225" s="2" customFormat="1" ht="16.5" hidden="1" thickBot="1">
      <c r="A70" s="45" t="s">
        <v>45</v>
      </c>
      <c r="B70" s="20"/>
      <c r="C70" s="54">
        <f t="shared" ref="C70:R70" si="19">C42+C50+C55-C68</f>
        <v>-5785842</v>
      </c>
      <c r="D70" s="54"/>
      <c r="E70" s="54"/>
      <c r="F70" s="54"/>
      <c r="G70" s="54"/>
      <c r="H70" s="54"/>
      <c r="I70" s="54"/>
      <c r="J70" s="54"/>
      <c r="K70" s="54"/>
      <c r="L70" s="54">
        <f t="shared" si="19"/>
        <v>2061795.8589999974</v>
      </c>
      <c r="M70" s="54">
        <f t="shared" si="19"/>
        <v>2061795.8589999974</v>
      </c>
      <c r="N70" s="54">
        <f t="shared" si="19"/>
        <v>2061795.8589999974</v>
      </c>
      <c r="O70" s="54">
        <f t="shared" si="19"/>
        <v>2061795.8589999974</v>
      </c>
      <c r="P70" s="54">
        <f t="shared" si="19"/>
        <v>2061795.8589999974</v>
      </c>
      <c r="Q70" s="54">
        <f t="shared" si="19"/>
        <v>2061795.8589999974</v>
      </c>
      <c r="R70" s="54">
        <f t="shared" si="19"/>
        <v>2061795.8589999974</v>
      </c>
      <c r="S70" s="53"/>
      <c r="T70" s="53"/>
      <c r="U70" s="53"/>
      <c r="V70" s="53"/>
      <c r="W70" s="53"/>
      <c r="X70" s="53"/>
      <c r="Y70" s="53"/>
      <c r="Z70" s="53"/>
      <c r="AA70" s="53"/>
      <c r="AB70" s="2">
        <f>SUM(C70:R70)</f>
        <v>8646729.0129999816</v>
      </c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</row>
    <row r="71" spans="1:225" s="2" customFormat="1" ht="15.75" hidden="1">
      <c r="A71" s="1"/>
      <c r="B71" s="2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1:225" s="2" customFormat="1" ht="15.75" hidden="1">
      <c r="A72" s="5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>
        <f>K72+L70</f>
        <v>2061795.8589999974</v>
      </c>
      <c r="M72" s="31">
        <f t="shared" ref="M72:R72" si="20">L72+M70</f>
        <v>4123591.7179999948</v>
      </c>
      <c r="N72" s="31">
        <f t="shared" si="20"/>
        <v>6185387.5769999921</v>
      </c>
      <c r="O72" s="31">
        <f t="shared" si="20"/>
        <v>8247183.4359999895</v>
      </c>
      <c r="P72" s="31">
        <f t="shared" si="20"/>
        <v>10308979.294999987</v>
      </c>
      <c r="Q72" s="31">
        <f t="shared" si="20"/>
        <v>12370775.153999984</v>
      </c>
      <c r="R72" s="31">
        <f t="shared" si="20"/>
        <v>14432571.012999982</v>
      </c>
      <c r="S72" s="31"/>
      <c r="T72" s="31"/>
      <c r="U72" s="31"/>
      <c r="V72" s="31"/>
      <c r="W72" s="31"/>
      <c r="X72" s="31"/>
      <c r="Y72" s="31"/>
      <c r="Z72" s="31"/>
      <c r="AA72" s="31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1:225" s="2" customFormat="1" ht="15.75" hidden="1">
      <c r="A73" s="55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1:225" s="2" customFormat="1" ht="15.75" hidden="1">
      <c r="A74" s="55"/>
      <c r="B74" s="31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1:225" s="2" customFormat="1" ht="15.75" hidden="1">
      <c r="A75" s="55"/>
      <c r="B75" s="31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1:225" s="2" customFormat="1" ht="15.75" hidden="1">
      <c r="A76" s="55"/>
      <c r="B76" s="31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1:225" s="2" customFormat="1" ht="15.75" hidden="1">
      <c r="A77" s="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1:225" s="2" customFormat="1" ht="15.75" hidden="1">
      <c r="A78" s="61" t="s">
        <v>46</v>
      </c>
      <c r="B78" s="20">
        <f>NPV(0.1,C$70:H$70)</f>
        <v>-5259856.3636363633</v>
      </c>
      <c r="C78" s="62"/>
      <c r="D78" s="63"/>
      <c r="E78" s="63"/>
      <c r="F78" s="63"/>
      <c r="G78" s="64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1:225" s="2" customFormat="1" ht="15.75" hidden="1">
      <c r="A79" s="61" t="s">
        <v>47</v>
      </c>
      <c r="B79" s="20">
        <f>NPV(0.1,C$70:M$70)</f>
        <v>-2006835.0984973747</v>
      </c>
      <c r="C79" s="65"/>
      <c r="D79" s="66"/>
      <c r="F79" s="20"/>
      <c r="G79" s="67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1:225" s="2" customFormat="1" ht="15.75" hidden="1">
      <c r="A80" s="61" t="s">
        <v>48</v>
      </c>
      <c r="B80" s="20">
        <f>NPV(0.1,C$70:R$70)</f>
        <v>3865312.5074517708</v>
      </c>
      <c r="C80" s="65"/>
      <c r="D80" s="20"/>
      <c r="E80" s="20"/>
      <c r="F80" s="20"/>
      <c r="G80" s="67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1:225" s="2" customFormat="1" ht="15.75" hidden="1">
      <c r="A81" s="1"/>
      <c r="C81" s="65"/>
      <c r="D81" s="68"/>
      <c r="E81" s="20"/>
      <c r="F81" s="69"/>
      <c r="G81" s="67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1:225" s="2" customFormat="1" ht="15.75" hidden="1">
      <c r="A82" s="1"/>
      <c r="C82" s="65"/>
      <c r="D82" s="20"/>
      <c r="E82" s="20"/>
      <c r="F82" s="20"/>
      <c r="G82" s="67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1:225" s="2" customFormat="1" ht="15.75" hidden="1">
      <c r="A83" s="1"/>
      <c r="C83" s="65"/>
      <c r="D83" s="68"/>
      <c r="E83" s="20"/>
      <c r="F83" s="70"/>
      <c r="G83" s="71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1:225" s="2" customFormat="1" ht="16.5" hidden="1" thickBot="1">
      <c r="A84" s="1"/>
      <c r="C84" s="72"/>
      <c r="D84" s="73"/>
      <c r="E84" s="73"/>
      <c r="F84" s="73"/>
      <c r="G84" s="7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1:225" s="2" customFormat="1" ht="15.75" hidden="1">
      <c r="A85" s="1"/>
      <c r="C85" s="20"/>
      <c r="D85" s="20"/>
      <c r="E85" s="20"/>
      <c r="F85" s="20"/>
      <c r="G85" s="20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1:225" s="2" customFormat="1" ht="15.75" hidden="1">
      <c r="A86" s="1"/>
      <c r="C86" s="20"/>
      <c r="D86" s="20"/>
      <c r="E86" s="20"/>
      <c r="F86" s="20"/>
      <c r="G86" s="20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1:225" s="2" customFormat="1" ht="15.75" hidden="1">
      <c r="A87" s="75" t="s">
        <v>49</v>
      </c>
      <c r="C87" s="76" t="s">
        <v>50</v>
      </c>
      <c r="D87" s="76"/>
      <c r="E87" s="76"/>
      <c r="F87" s="76"/>
      <c r="G87" s="76"/>
      <c r="H87" s="76"/>
      <c r="I87" s="76"/>
      <c r="J87" s="76"/>
      <c r="K87" s="76"/>
      <c r="L87" s="76" t="s">
        <v>51</v>
      </c>
      <c r="M87" s="76" t="s">
        <v>52</v>
      </c>
      <c r="N87" s="76" t="s">
        <v>53</v>
      </c>
      <c r="O87" s="76" t="s">
        <v>54</v>
      </c>
      <c r="P87" s="76" t="s">
        <v>55</v>
      </c>
      <c r="Q87" s="76" t="s">
        <v>56</v>
      </c>
      <c r="R87" s="76" t="s">
        <v>57</v>
      </c>
      <c r="S87" s="76"/>
      <c r="T87" s="76"/>
      <c r="U87" s="76"/>
      <c r="V87" s="76"/>
      <c r="W87" s="76"/>
      <c r="X87" s="76"/>
      <c r="Y87" s="76"/>
      <c r="Z87" s="76"/>
      <c r="AA87" s="76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1:225" s="2" customFormat="1" ht="15.75" hidden="1">
      <c r="A88" s="77" t="s">
        <v>58</v>
      </c>
      <c r="C88" s="66" t="s">
        <v>59</v>
      </c>
      <c r="D88" s="66"/>
      <c r="E88" s="66"/>
      <c r="F88" s="66"/>
      <c r="G88" s="66"/>
      <c r="H88" s="66"/>
      <c r="I88" s="66"/>
      <c r="J88" s="66"/>
      <c r="K88" s="66"/>
      <c r="L88" s="66" t="s">
        <v>60</v>
      </c>
      <c r="M88" s="66" t="s">
        <v>60</v>
      </c>
      <c r="N88" s="66" t="s">
        <v>60</v>
      </c>
      <c r="O88" s="66" t="s">
        <v>60</v>
      </c>
      <c r="P88" s="66" t="s">
        <v>60</v>
      </c>
      <c r="Q88" s="66" t="s">
        <v>60</v>
      </c>
      <c r="R88" s="66" t="s">
        <v>60</v>
      </c>
      <c r="S88" s="66"/>
      <c r="T88" s="66"/>
      <c r="U88" s="66"/>
      <c r="V88" s="66"/>
      <c r="W88" s="66"/>
      <c r="X88" s="66"/>
      <c r="Y88" s="66"/>
      <c r="Z88" s="66"/>
      <c r="AA88" s="66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1:225" s="2" customFormat="1" ht="15.75" hidden="1">
      <c r="A89" s="75" t="s">
        <v>61</v>
      </c>
      <c r="C89" s="20"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">
        <f t="shared" ref="AB89:AB99" si="21">SUM(C89:R89)</f>
        <v>0</v>
      </c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1:225" s="2" customFormat="1" ht="15.75" hidden="1">
      <c r="A90" s="75"/>
      <c r="C90" s="20">
        <v>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AB90" s="2">
        <f t="shared" si="21"/>
        <v>0</v>
      </c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1:225" s="2" customFormat="1" ht="15.75" hidden="1">
      <c r="A91" s="75"/>
      <c r="C91" s="20"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AB91" s="2">
        <f t="shared" si="21"/>
        <v>0</v>
      </c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1:225" s="2" customFormat="1" ht="15.75" hidden="1">
      <c r="A92" s="75"/>
      <c r="C92" s="20">
        <f>-$C$48*0.1429</f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AB92" s="2">
        <f t="shared" si="21"/>
        <v>0</v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</row>
    <row r="93" spans="1:225" s="2" customFormat="1" ht="15.75" hidden="1">
      <c r="A93" s="75"/>
      <c r="C93" s="20">
        <v>0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AB93" s="2">
        <f t="shared" si="21"/>
        <v>0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</row>
    <row r="94" spans="1:225" s="2" customFormat="1" ht="15.75" hidden="1">
      <c r="A94" s="75"/>
      <c r="C94" s="20">
        <v>0</v>
      </c>
      <c r="D94" s="20"/>
      <c r="E94" s="20"/>
      <c r="F94" s="20"/>
      <c r="G94" s="20"/>
      <c r="H94" s="20"/>
      <c r="I94" s="20"/>
      <c r="J94" s="20"/>
      <c r="K94" s="20"/>
      <c r="L94" s="20">
        <f>-$E$48*0.0446</f>
        <v>0</v>
      </c>
      <c r="M94" s="20"/>
      <c r="N94" s="20"/>
      <c r="O94" s="20"/>
      <c r="AB94" s="2">
        <f t="shared" si="21"/>
        <v>0</v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</row>
    <row r="95" spans="1:225" s="2" customFormat="1" ht="15.75" hidden="1">
      <c r="A95" s="75"/>
      <c r="C95" s="20">
        <v>0</v>
      </c>
      <c r="D95" s="20"/>
      <c r="E95" s="20"/>
      <c r="F95" s="20"/>
      <c r="G95" s="20"/>
      <c r="H95" s="20"/>
      <c r="I95" s="20"/>
      <c r="J95" s="20"/>
      <c r="K95" s="20"/>
      <c r="L95" s="20">
        <f>-$F$48*0.0893</f>
        <v>0</v>
      </c>
      <c r="M95" s="20">
        <f>-$F$48*0.0446</f>
        <v>0</v>
      </c>
      <c r="N95" s="20"/>
      <c r="O95" s="20"/>
      <c r="P95" s="20"/>
      <c r="AB95" s="2">
        <f t="shared" si="21"/>
        <v>0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1:225" s="2" customFormat="1" ht="15.75" hidden="1">
      <c r="A96" s="75"/>
      <c r="C96" s="20">
        <v>0</v>
      </c>
      <c r="D96" s="20"/>
      <c r="E96" s="20"/>
      <c r="F96" s="20"/>
      <c r="G96" s="20"/>
      <c r="H96" s="20"/>
      <c r="I96" s="20"/>
      <c r="J96" s="20"/>
      <c r="K96" s="20"/>
      <c r="L96" s="20">
        <f>-$G$48*0.0892</f>
        <v>0</v>
      </c>
      <c r="M96" s="20">
        <f>-$G$48*0.0893</f>
        <v>0</v>
      </c>
      <c r="N96" s="20">
        <f>-$G$48*0.0446</f>
        <v>0</v>
      </c>
      <c r="O96" s="20"/>
      <c r="P96" s="20"/>
      <c r="Q96" s="20">
        <f>-J$48*0.0446</f>
        <v>0</v>
      </c>
      <c r="AB96" s="2">
        <f t="shared" si="21"/>
        <v>0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1:225" s="2" customFormat="1" ht="15.75" hidden="1">
      <c r="A97" s="75"/>
      <c r="C97" s="20">
        <v>0</v>
      </c>
      <c r="D97" s="20"/>
      <c r="E97" s="20"/>
      <c r="F97" s="20"/>
      <c r="G97" s="20"/>
      <c r="H97" s="20"/>
      <c r="I97" s="20"/>
      <c r="J97" s="20"/>
      <c r="K97" s="20"/>
      <c r="L97" s="20">
        <f>-L$48*0.1429</f>
        <v>0</v>
      </c>
      <c r="M97" s="20">
        <f>-I$47*0.1249</f>
        <v>227318</v>
      </c>
      <c r="N97" s="20">
        <f>-I$47*0.0893</f>
        <v>162526</v>
      </c>
      <c r="O97" s="20">
        <f>-I$47*0.0892</f>
        <v>162344</v>
      </c>
      <c r="P97" s="20">
        <f>-I$47*0.0893</f>
        <v>162526</v>
      </c>
      <c r="Q97" s="20">
        <f>-I$47*0.0446</f>
        <v>81172</v>
      </c>
      <c r="R97" s="20">
        <f>-K$48*0.0446</f>
        <v>0</v>
      </c>
      <c r="S97" s="20"/>
      <c r="T97" s="20"/>
      <c r="U97" s="20"/>
      <c r="V97" s="20"/>
      <c r="W97" s="20"/>
      <c r="X97" s="20"/>
      <c r="Y97" s="20"/>
      <c r="Z97" s="20"/>
      <c r="AA97" s="20"/>
      <c r="AB97" s="2">
        <f t="shared" si="21"/>
        <v>795886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1:225" s="2" customFormat="1" ht="15.75" hidden="1">
      <c r="A98" s="75"/>
      <c r="C98" s="20">
        <v>0</v>
      </c>
      <c r="D98" s="20"/>
      <c r="E98" s="20"/>
      <c r="F98" s="20"/>
      <c r="G98" s="20"/>
      <c r="H98" s="20"/>
      <c r="I98" s="20"/>
      <c r="J98" s="20"/>
      <c r="K98" s="20"/>
      <c r="L98" s="20">
        <v>0</v>
      </c>
      <c r="M98" s="20">
        <f>-L$48*0.2449</f>
        <v>0</v>
      </c>
      <c r="N98" s="20">
        <f>-L$48*0.1749</f>
        <v>0</v>
      </c>
      <c r="O98" s="20">
        <f>-L$48*0.1249</f>
        <v>0</v>
      </c>
      <c r="P98" s="20">
        <f>-L$48*0.0893</f>
        <v>0</v>
      </c>
      <c r="Q98" s="20">
        <f>-L$48*0.0892</f>
        <v>0</v>
      </c>
      <c r="R98" s="20">
        <f>-L$48*0.0893</f>
        <v>0</v>
      </c>
      <c r="S98" s="20"/>
      <c r="T98" s="20"/>
      <c r="U98" s="20"/>
      <c r="V98" s="20"/>
      <c r="W98" s="20"/>
      <c r="X98" s="20"/>
      <c r="Y98" s="20"/>
      <c r="Z98" s="20"/>
      <c r="AA98" s="20"/>
      <c r="AB98" s="2">
        <f t="shared" si="21"/>
        <v>0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</row>
    <row r="99" spans="1:225" s="2" customFormat="1" ht="15.75" hidden="1">
      <c r="A99" s="75"/>
      <c r="C99" s="20">
        <v>0</v>
      </c>
      <c r="D99" s="20"/>
      <c r="E99" s="20"/>
      <c r="F99" s="20"/>
      <c r="G99" s="20"/>
      <c r="H99" s="20"/>
      <c r="I99" s="20"/>
      <c r="J99" s="20"/>
      <c r="K99" s="20"/>
      <c r="L99" s="20">
        <v>0</v>
      </c>
      <c r="M99" s="20">
        <f>-M$48*0.1429</f>
        <v>0</v>
      </c>
      <c r="N99" s="20">
        <f>-M$48*0.2449</f>
        <v>0</v>
      </c>
      <c r="O99" s="20">
        <f>-M$48*0.1749</f>
        <v>0</v>
      </c>
      <c r="P99" s="20">
        <f>-M$48*0.1249</f>
        <v>0</v>
      </c>
      <c r="Q99" s="20">
        <f>-M$48*0.0893</f>
        <v>0</v>
      </c>
      <c r="R99" s="20">
        <f>-M$48*0.0892</f>
        <v>0</v>
      </c>
      <c r="S99" s="20"/>
      <c r="T99" s="20"/>
      <c r="U99" s="20"/>
      <c r="V99" s="20"/>
      <c r="W99" s="20"/>
      <c r="X99" s="20"/>
      <c r="Y99" s="20"/>
      <c r="Z99" s="20"/>
      <c r="AA99" s="20"/>
      <c r="AB99" s="2">
        <f t="shared" si="21"/>
        <v>0</v>
      </c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</row>
    <row r="100" spans="1:225" s="2" customFormat="1" ht="15.75" hidden="1">
      <c r="A100" s="75"/>
      <c r="C100" s="20">
        <v>0</v>
      </c>
      <c r="D100" s="20"/>
      <c r="E100" s="20"/>
      <c r="F100" s="20"/>
      <c r="G100" s="20"/>
      <c r="H100" s="20"/>
      <c r="I100" s="20"/>
      <c r="J100" s="20"/>
      <c r="K100" s="20"/>
      <c r="L100" s="20">
        <v>0</v>
      </c>
      <c r="M100" s="20">
        <v>0</v>
      </c>
      <c r="N100" s="20">
        <f>-N$48*0.1429</f>
        <v>0</v>
      </c>
      <c r="O100" s="20">
        <f>-N$48*0.2449</f>
        <v>0</v>
      </c>
      <c r="P100" s="20">
        <f>-N$48*0.1749</f>
        <v>0</v>
      </c>
      <c r="Q100" s="20">
        <f>-N$48*0.1249</f>
        <v>0</v>
      </c>
      <c r="R100" s="20">
        <f>-N$48*0.0893</f>
        <v>0</v>
      </c>
      <c r="S100" s="20"/>
      <c r="T100" s="20"/>
      <c r="U100" s="20"/>
      <c r="V100" s="20"/>
      <c r="W100" s="20"/>
      <c r="X100" s="20"/>
      <c r="Y100" s="20"/>
      <c r="Z100" s="20"/>
      <c r="AA100" s="2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</row>
    <row r="101" spans="1:225" s="2" customFormat="1" ht="15.75" hidden="1">
      <c r="A101" s="75"/>
      <c r="C101" s="20">
        <v>0</v>
      </c>
      <c r="D101" s="20"/>
      <c r="E101" s="20"/>
      <c r="F101" s="20"/>
      <c r="G101" s="20"/>
      <c r="H101" s="20"/>
      <c r="I101" s="20"/>
      <c r="J101" s="20"/>
      <c r="K101" s="20"/>
      <c r="L101" s="20">
        <v>0</v>
      </c>
      <c r="M101" s="20">
        <v>0</v>
      </c>
      <c r="N101" s="20">
        <v>0</v>
      </c>
      <c r="O101" s="20">
        <f>-O$48*0.1429</f>
        <v>0</v>
      </c>
      <c r="P101" s="20">
        <f>-O$48*0.2449</f>
        <v>0</v>
      </c>
      <c r="Q101" s="20">
        <f>-O$48*0.1749</f>
        <v>0</v>
      </c>
      <c r="R101" s="20">
        <f>-O$48*0.1249</f>
        <v>0</v>
      </c>
      <c r="S101" s="20"/>
      <c r="T101" s="20"/>
      <c r="U101" s="20"/>
      <c r="V101" s="20"/>
      <c r="W101" s="20"/>
      <c r="X101" s="20"/>
      <c r="Y101" s="20"/>
      <c r="Z101" s="20"/>
      <c r="AA101" s="20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</row>
    <row r="102" spans="1:225" s="2" customFormat="1" ht="15.75" hidden="1">
      <c r="A102" s="75"/>
      <c r="C102" s="20">
        <v>0</v>
      </c>
      <c r="D102" s="20"/>
      <c r="E102" s="20"/>
      <c r="F102" s="20"/>
      <c r="G102" s="20"/>
      <c r="H102" s="20"/>
      <c r="I102" s="20"/>
      <c r="J102" s="20"/>
      <c r="K102" s="20"/>
      <c r="L102" s="20">
        <v>0</v>
      </c>
      <c r="M102" s="20">
        <v>0</v>
      </c>
      <c r="N102" s="20">
        <v>0</v>
      </c>
      <c r="O102" s="20">
        <v>0</v>
      </c>
      <c r="P102" s="20">
        <f>-P$48*0.1429</f>
        <v>0</v>
      </c>
      <c r="Q102" s="20">
        <f>-P$48*0.2449</f>
        <v>0</v>
      </c>
      <c r="R102" s="20">
        <f>-P$48*0.1749</f>
        <v>0</v>
      </c>
      <c r="S102" s="20"/>
      <c r="T102" s="20"/>
      <c r="U102" s="20"/>
      <c r="V102" s="20"/>
      <c r="W102" s="20"/>
      <c r="X102" s="20"/>
      <c r="Y102" s="20"/>
      <c r="Z102" s="20"/>
      <c r="AA102" s="20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</row>
    <row r="103" spans="1:225" s="2" customFormat="1" ht="15.75" hidden="1">
      <c r="A103" s="75"/>
      <c r="C103" s="20">
        <v>0</v>
      </c>
      <c r="D103" s="20"/>
      <c r="E103" s="20"/>
      <c r="F103" s="20"/>
      <c r="G103" s="20"/>
      <c r="H103" s="20"/>
      <c r="I103" s="20"/>
      <c r="J103" s="20"/>
      <c r="K103" s="20"/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f>-Q$48*0.1429</f>
        <v>0</v>
      </c>
      <c r="R103" s="20">
        <f>-Q$48*0.2449</f>
        <v>0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>
        <f>-Q$48*0.0446</f>
        <v>0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</row>
    <row r="104" spans="1:225" s="2" customFormat="1" ht="15.75" hidden="1">
      <c r="A104" s="75"/>
      <c r="C104" s="20">
        <v>0</v>
      </c>
      <c r="D104" s="20"/>
      <c r="E104" s="20"/>
      <c r="F104" s="20"/>
      <c r="G104" s="20"/>
      <c r="H104" s="20"/>
      <c r="I104" s="20"/>
      <c r="J104" s="20"/>
      <c r="K104" s="20"/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f>-R$48*0.1429</f>
        <v>0</v>
      </c>
      <c r="S104" s="20"/>
      <c r="T104" s="20"/>
      <c r="U104" s="20"/>
      <c r="V104" s="20"/>
      <c r="W104" s="20"/>
      <c r="X104" s="20"/>
      <c r="Y104" s="20"/>
      <c r="Z104" s="20"/>
      <c r="AA104" s="20"/>
      <c r="AB104" s="20">
        <f>-R$48*0.0893</f>
        <v>0</v>
      </c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</row>
    <row r="105" spans="1:225" s="2" customFormat="1" ht="15.75" hidden="1">
      <c r="A105" s="75"/>
      <c r="C105" s="20">
        <v>0</v>
      </c>
      <c r="D105" s="20"/>
      <c r="E105" s="20"/>
      <c r="F105" s="20"/>
      <c r="G105" s="20"/>
      <c r="H105" s="20"/>
      <c r="I105" s="20"/>
      <c r="J105" s="20"/>
      <c r="K105" s="20"/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 t="e">
        <f>-#REF!*0.0892</f>
        <v>#REF!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</row>
    <row r="106" spans="1:225" s="2" customFormat="1" ht="15.75" hidden="1">
      <c r="A106" s="75"/>
      <c r="C106" s="20">
        <v>0</v>
      </c>
      <c r="D106" s="20"/>
      <c r="E106" s="20"/>
      <c r="F106" s="20"/>
      <c r="G106" s="20"/>
      <c r="H106" s="20"/>
      <c r="I106" s="20"/>
      <c r="J106" s="20"/>
      <c r="K106" s="20"/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 t="e">
        <f>-#REF!*0.0893</f>
        <v>#REF!</v>
      </c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</row>
    <row r="107" spans="1:225" s="2" customFormat="1" ht="15.75" hidden="1">
      <c r="A107" s="75"/>
      <c r="C107" s="20">
        <v>0</v>
      </c>
      <c r="D107" s="20"/>
      <c r="E107" s="20"/>
      <c r="F107" s="20"/>
      <c r="G107" s="20"/>
      <c r="H107" s="20"/>
      <c r="I107" s="20"/>
      <c r="J107" s="20"/>
      <c r="K107" s="20"/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 t="e">
        <f>-#REF!*0.1249</f>
        <v>#REF!</v>
      </c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</row>
    <row r="108" spans="1:225" s="2" customFormat="1" ht="15.75" hidden="1">
      <c r="A108" s="75"/>
      <c r="C108" s="20">
        <v>0</v>
      </c>
      <c r="D108" s="20"/>
      <c r="E108" s="20"/>
      <c r="F108" s="20"/>
      <c r="G108" s="20"/>
      <c r="H108" s="20"/>
      <c r="I108" s="20"/>
      <c r="J108" s="20"/>
      <c r="K108" s="20"/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 t="e">
        <f>-#REF!*0.1749</f>
        <v>#REF!</v>
      </c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</row>
    <row r="109" spans="1:225" s="2" customFormat="1" ht="15.75" hidden="1">
      <c r="A109" s="75"/>
      <c r="C109" s="20">
        <v>0</v>
      </c>
      <c r="D109" s="20"/>
      <c r="E109" s="20"/>
      <c r="F109" s="20"/>
      <c r="G109" s="20"/>
      <c r="H109" s="20"/>
      <c r="I109" s="20"/>
      <c r="J109" s="20"/>
      <c r="K109" s="20"/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/>
      <c r="T109" s="20"/>
      <c r="U109" s="20"/>
      <c r="V109" s="20"/>
      <c r="W109" s="20"/>
      <c r="X109" s="20"/>
      <c r="Y109" s="20"/>
      <c r="Z109" s="20"/>
      <c r="AA109" s="20"/>
      <c r="AB109" s="20" t="e">
        <f>-#REF!*0.2449</f>
        <v>#REF!</v>
      </c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</row>
    <row r="110" spans="1:225" s="2" customFormat="1" ht="15.75" hidden="1">
      <c r="A110" s="75"/>
      <c r="C110" s="20">
        <f t="shared" ref="C110:AB110" si="22">SUM(C89:C109)</f>
        <v>0</v>
      </c>
      <c r="D110" s="20"/>
      <c r="E110" s="20"/>
      <c r="F110" s="20"/>
      <c r="G110" s="20"/>
      <c r="H110" s="20"/>
      <c r="I110" s="20"/>
      <c r="J110" s="20"/>
      <c r="K110" s="20"/>
      <c r="L110" s="20">
        <f t="shared" si="22"/>
        <v>0</v>
      </c>
      <c r="M110" s="20">
        <f t="shared" si="22"/>
        <v>227318</v>
      </c>
      <c r="N110" s="20">
        <f t="shared" si="22"/>
        <v>162526</v>
      </c>
      <c r="O110" s="20">
        <f t="shared" si="22"/>
        <v>162344</v>
      </c>
      <c r="P110" s="20">
        <f t="shared" si="22"/>
        <v>162526</v>
      </c>
      <c r="Q110" s="20">
        <f t="shared" si="22"/>
        <v>81172</v>
      </c>
      <c r="R110" s="20">
        <f t="shared" si="22"/>
        <v>0</v>
      </c>
      <c r="S110" s="20"/>
      <c r="T110" s="20"/>
      <c r="U110" s="20"/>
      <c r="V110" s="20"/>
      <c r="W110" s="20"/>
      <c r="X110" s="20"/>
      <c r="Y110" s="20"/>
      <c r="Z110" s="20"/>
      <c r="AA110" s="20"/>
      <c r="AB110" s="20" t="e">
        <f t="shared" si="22"/>
        <v>#REF!</v>
      </c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</row>
    <row r="111" spans="1:225" s="2" customFormat="1" ht="15.75" hidden="1">
      <c r="A111" s="75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</row>
    <row r="112" spans="1:225" s="2" customFormat="1" ht="15.75" hidden="1">
      <c r="A112" s="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</row>
    <row r="113" spans="1:225" s="2" customFormat="1" ht="15.75" hidden="1">
      <c r="A113" s="1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</row>
    <row r="114" spans="1:225" s="2" customFormat="1" ht="15.75" hidden="1">
      <c r="A114" s="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</row>
    <row r="115" spans="1:225" s="2" customFormat="1" ht="15.75" hidden="1">
      <c r="A115" s="75" t="s">
        <v>62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</row>
    <row r="116" spans="1:225" s="2" customFormat="1" ht="15.75" hidden="1">
      <c r="A116" s="77" t="s">
        <v>58</v>
      </c>
      <c r="B116" s="6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</row>
    <row r="117" spans="1:225" s="2" customFormat="1" ht="15.75" hidden="1">
      <c r="A117" s="45" t="s">
        <v>63</v>
      </c>
      <c r="B117" s="20">
        <v>0</v>
      </c>
      <c r="C117" s="20">
        <v>0</v>
      </c>
      <c r="D117" s="20"/>
      <c r="E117" s="20"/>
      <c r="F117" s="20"/>
      <c r="G117" s="20"/>
      <c r="H117" s="20"/>
      <c r="I117" s="20"/>
      <c r="J117" s="20"/>
      <c r="K117" s="20"/>
      <c r="L117" s="20">
        <f>(K117+1)</f>
        <v>1</v>
      </c>
      <c r="M117" s="20">
        <f t="shared" ref="M117:O117" si="23">(L117+1)</f>
        <v>2</v>
      </c>
      <c r="N117" s="20">
        <f t="shared" si="23"/>
        <v>3</v>
      </c>
      <c r="O117" s="20">
        <f t="shared" si="23"/>
        <v>4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  <row r="118" spans="1:225" s="2" customFormat="1" ht="15.75" hidden="1">
      <c r="A118" s="45" t="s">
        <v>64</v>
      </c>
      <c r="B118" s="20">
        <f>B70</f>
        <v>0</v>
      </c>
      <c r="C118" s="20">
        <f>C70*(1/(1+0.02)^C117)</f>
        <v>-5785842</v>
      </c>
      <c r="D118" s="20"/>
      <c r="E118" s="20"/>
      <c r="F118" s="20"/>
      <c r="G118" s="20"/>
      <c r="H118" s="20"/>
      <c r="I118" s="20"/>
      <c r="J118" s="20"/>
      <c r="K118" s="20"/>
      <c r="L118" s="20">
        <f t="shared" ref="L118:O118" si="24">L70*(1/(1+0.02)^L117)</f>
        <v>2021368.4892156837</v>
      </c>
      <c r="M118" s="20">
        <f t="shared" si="24"/>
        <v>1981733.8129565527</v>
      </c>
      <c r="N118" s="20">
        <f t="shared" si="24"/>
        <v>1942876.2872123069</v>
      </c>
      <c r="O118" s="20">
        <f t="shared" si="24"/>
        <v>1904780.6737375553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</row>
    <row r="119" spans="1:225" s="2" customFormat="1" ht="15.75" hidden="1">
      <c r="A119" s="45" t="s">
        <v>65</v>
      </c>
      <c r="B119" s="20">
        <f>B118</f>
        <v>0</v>
      </c>
      <c r="C119" s="20">
        <f t="shared" ref="C119:O119" si="25">C118+B119</f>
        <v>-5785842</v>
      </c>
      <c r="D119" s="20"/>
      <c r="E119" s="20"/>
      <c r="F119" s="20"/>
      <c r="G119" s="20"/>
      <c r="H119" s="20"/>
      <c r="I119" s="20"/>
      <c r="J119" s="20"/>
      <c r="K119" s="20"/>
      <c r="L119" s="20">
        <f>L118+K119</f>
        <v>2021368.4892156837</v>
      </c>
      <c r="M119" s="20">
        <f t="shared" si="25"/>
        <v>4003102.3021722361</v>
      </c>
      <c r="N119" s="20">
        <f t="shared" si="25"/>
        <v>5945978.5893845428</v>
      </c>
      <c r="O119" s="20">
        <f t="shared" si="25"/>
        <v>7850759.2631220985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</row>
    <row r="120" spans="1:225" s="2" customFormat="1" ht="15.75" hidden="1">
      <c r="A120" s="45" t="s">
        <v>66</v>
      </c>
      <c r="C120" s="78">
        <f t="shared" ref="C120:O120" si="26">B117+(B119*-1/(C119-B119))</f>
        <v>0</v>
      </c>
      <c r="D120" s="78"/>
      <c r="E120" s="78"/>
      <c r="F120" s="78"/>
      <c r="G120" s="78"/>
      <c r="H120" s="78"/>
      <c r="I120" s="78"/>
      <c r="J120" s="78"/>
      <c r="K120" s="78"/>
      <c r="L120" s="78">
        <f>K117+(K119*-1/(L119-K119))</f>
        <v>0</v>
      </c>
      <c r="M120" s="78">
        <f t="shared" si="26"/>
        <v>-2.0000000000000018E-2</v>
      </c>
      <c r="N120" s="78">
        <f t="shared" si="26"/>
        <v>-6.0399999999999565E-2</v>
      </c>
      <c r="O120" s="78">
        <f t="shared" si="26"/>
        <v>-0.12160799999999927</v>
      </c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</row>
    <row r="121" spans="1:225" s="2" customFormat="1" ht="15.75" hidden="1">
      <c r="A121" s="45" t="s">
        <v>67</v>
      </c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</row>
    <row r="122" spans="1:225" s="2" customFormat="1" ht="15.75" hidden="1">
      <c r="A122" s="1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</row>
    <row r="123" spans="1:225" s="2" customFormat="1" ht="15.75" hidden="1">
      <c r="A123" s="1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</row>
    <row r="124" spans="1:225" s="2" customFormat="1" ht="15.75" hidden="1">
      <c r="A124" s="1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</row>
    <row r="125" spans="1:225" s="2" customFormat="1" ht="15.75" hidden="1">
      <c r="A125" s="1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</row>
    <row r="126" spans="1:225" s="2" customFormat="1" ht="15.75" hidden="1">
      <c r="A126" s="1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</row>
    <row r="127" spans="1:225" s="2" customFormat="1" ht="15.75" hidden="1">
      <c r="A127" s="1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</row>
    <row r="128" spans="1:225" s="2" customFormat="1" ht="15.75" hidden="1">
      <c r="A128" s="79" t="s">
        <v>68</v>
      </c>
      <c r="B128" s="80">
        <v>0.4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</row>
    <row r="129" spans="1:225" s="2" customFormat="1" ht="15.75" hidden="1">
      <c r="A129" s="1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</row>
    <row r="130" spans="1:225" s="2" customFormat="1" ht="15.75">
      <c r="A130" s="1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</row>
    <row r="131" spans="1:225">
      <c r="A131" s="14"/>
      <c r="D131" s="81"/>
      <c r="E131" s="81"/>
      <c r="F131" s="81"/>
      <c r="J131" s="82"/>
    </row>
    <row r="132" spans="1:225">
      <c r="A132" s="14"/>
      <c r="D132" s="81"/>
      <c r="E132" s="83"/>
      <c r="F132" s="81"/>
      <c r="H132" s="84"/>
    </row>
    <row r="133" spans="1:225">
      <c r="A133" s="14"/>
      <c r="H133" s="84"/>
      <c r="J133" s="82"/>
    </row>
    <row r="134" spans="1:225">
      <c r="A134" s="85"/>
      <c r="F134" s="81"/>
      <c r="H134" s="82"/>
    </row>
    <row r="135" spans="1:225">
      <c r="A135" s="85"/>
    </row>
    <row r="136" spans="1:225">
      <c r="A136" s="85"/>
    </row>
    <row r="137" spans="1:225">
      <c r="A137" s="85"/>
    </row>
    <row r="138" spans="1:225">
      <c r="A138" s="85"/>
    </row>
    <row r="139" spans="1:225">
      <c r="A139" s="85"/>
    </row>
  </sheetData>
  <printOptions gridLinesSet="0"/>
  <pageMargins left="0.5" right="0.5" top="0.75" bottom="0.25" header="0.5" footer="0.5"/>
  <pageSetup paperSize="5" scale="59" fitToWidth="0" orientation="landscape" r:id="rId1"/>
  <headerFooter alignWithMargins="0"/>
  <colBreaks count="1" manualBreakCount="1">
    <brk id="11" max="1048575" man="1"/>
  </colBreaks>
  <ignoredErrors>
    <ignoredError sqref="D11:R38 S11 S18:AB22 T11:AA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Q138"/>
  <sheetViews>
    <sheetView showGridLines="0" topLeftCell="A25" zoomScale="80" zoomScaleNormal="80" workbookViewId="0">
      <pane xSplit="1" topLeftCell="B1" activePane="topRight" state="frozen"/>
      <selection activeCell="A4" sqref="A4"/>
      <selection pane="topRight"/>
    </sheetView>
  </sheetViews>
  <sheetFormatPr defaultColWidth="13.28515625" defaultRowHeight="15"/>
  <cols>
    <col min="1" max="1" width="66.140625" customWidth="1"/>
    <col min="2" max="2" width="12.85546875" customWidth="1"/>
    <col min="3" max="28" width="18" customWidth="1"/>
    <col min="266" max="266" width="66.140625" customWidth="1"/>
    <col min="267" max="267" width="12.85546875" customWidth="1"/>
    <col min="268" max="283" width="14.42578125" customWidth="1"/>
    <col min="284" max="284" width="17.85546875" bestFit="1" customWidth="1"/>
    <col min="522" max="522" width="66.140625" customWidth="1"/>
    <col min="523" max="523" width="12.85546875" customWidth="1"/>
    <col min="524" max="539" width="14.42578125" customWidth="1"/>
    <col min="540" max="540" width="17.85546875" bestFit="1" customWidth="1"/>
    <col min="778" max="778" width="66.140625" customWidth="1"/>
    <col min="779" max="779" width="12.85546875" customWidth="1"/>
    <col min="780" max="795" width="14.42578125" customWidth="1"/>
    <col min="796" max="796" width="17.85546875" bestFit="1" customWidth="1"/>
    <col min="1034" max="1034" width="66.140625" customWidth="1"/>
    <col min="1035" max="1035" width="12.85546875" customWidth="1"/>
    <col min="1036" max="1051" width="14.42578125" customWidth="1"/>
    <col min="1052" max="1052" width="17.85546875" bestFit="1" customWidth="1"/>
    <col min="1290" max="1290" width="66.140625" customWidth="1"/>
    <col min="1291" max="1291" width="12.85546875" customWidth="1"/>
    <col min="1292" max="1307" width="14.42578125" customWidth="1"/>
    <col min="1308" max="1308" width="17.85546875" bestFit="1" customWidth="1"/>
    <col min="1546" max="1546" width="66.140625" customWidth="1"/>
    <col min="1547" max="1547" width="12.85546875" customWidth="1"/>
    <col min="1548" max="1563" width="14.42578125" customWidth="1"/>
    <col min="1564" max="1564" width="17.85546875" bestFit="1" customWidth="1"/>
    <col min="1802" max="1802" width="66.140625" customWidth="1"/>
    <col min="1803" max="1803" width="12.85546875" customWidth="1"/>
    <col min="1804" max="1819" width="14.42578125" customWidth="1"/>
    <col min="1820" max="1820" width="17.85546875" bestFit="1" customWidth="1"/>
    <col min="2058" max="2058" width="66.140625" customWidth="1"/>
    <col min="2059" max="2059" width="12.85546875" customWidth="1"/>
    <col min="2060" max="2075" width="14.42578125" customWidth="1"/>
    <col min="2076" max="2076" width="17.85546875" bestFit="1" customWidth="1"/>
    <col min="2314" max="2314" width="66.140625" customWidth="1"/>
    <col min="2315" max="2315" width="12.85546875" customWidth="1"/>
    <col min="2316" max="2331" width="14.42578125" customWidth="1"/>
    <col min="2332" max="2332" width="17.85546875" bestFit="1" customWidth="1"/>
    <col min="2570" max="2570" width="66.140625" customWidth="1"/>
    <col min="2571" max="2571" width="12.85546875" customWidth="1"/>
    <col min="2572" max="2587" width="14.42578125" customWidth="1"/>
    <col min="2588" max="2588" width="17.85546875" bestFit="1" customWidth="1"/>
    <col min="2826" max="2826" width="66.140625" customWidth="1"/>
    <col min="2827" max="2827" width="12.85546875" customWidth="1"/>
    <col min="2828" max="2843" width="14.42578125" customWidth="1"/>
    <col min="2844" max="2844" width="17.85546875" bestFit="1" customWidth="1"/>
    <col min="3082" max="3082" width="66.140625" customWidth="1"/>
    <col min="3083" max="3083" width="12.85546875" customWidth="1"/>
    <col min="3084" max="3099" width="14.42578125" customWidth="1"/>
    <col min="3100" max="3100" width="17.85546875" bestFit="1" customWidth="1"/>
    <col min="3338" max="3338" width="66.140625" customWidth="1"/>
    <col min="3339" max="3339" width="12.85546875" customWidth="1"/>
    <col min="3340" max="3355" width="14.42578125" customWidth="1"/>
    <col min="3356" max="3356" width="17.85546875" bestFit="1" customWidth="1"/>
    <col min="3594" max="3594" width="66.140625" customWidth="1"/>
    <col min="3595" max="3595" width="12.85546875" customWidth="1"/>
    <col min="3596" max="3611" width="14.42578125" customWidth="1"/>
    <col min="3612" max="3612" width="17.85546875" bestFit="1" customWidth="1"/>
    <col min="3850" max="3850" width="66.140625" customWidth="1"/>
    <col min="3851" max="3851" width="12.85546875" customWidth="1"/>
    <col min="3852" max="3867" width="14.42578125" customWidth="1"/>
    <col min="3868" max="3868" width="17.85546875" bestFit="1" customWidth="1"/>
    <col min="4106" max="4106" width="66.140625" customWidth="1"/>
    <col min="4107" max="4107" width="12.85546875" customWidth="1"/>
    <col min="4108" max="4123" width="14.42578125" customWidth="1"/>
    <col min="4124" max="4124" width="17.85546875" bestFit="1" customWidth="1"/>
    <col min="4362" max="4362" width="66.140625" customWidth="1"/>
    <col min="4363" max="4363" width="12.85546875" customWidth="1"/>
    <col min="4364" max="4379" width="14.42578125" customWidth="1"/>
    <col min="4380" max="4380" width="17.85546875" bestFit="1" customWidth="1"/>
    <col min="4618" max="4618" width="66.140625" customWidth="1"/>
    <col min="4619" max="4619" width="12.85546875" customWidth="1"/>
    <col min="4620" max="4635" width="14.42578125" customWidth="1"/>
    <col min="4636" max="4636" width="17.85546875" bestFit="1" customWidth="1"/>
    <col min="4874" max="4874" width="66.140625" customWidth="1"/>
    <col min="4875" max="4875" width="12.85546875" customWidth="1"/>
    <col min="4876" max="4891" width="14.42578125" customWidth="1"/>
    <col min="4892" max="4892" width="17.85546875" bestFit="1" customWidth="1"/>
    <col min="5130" max="5130" width="66.140625" customWidth="1"/>
    <col min="5131" max="5131" width="12.85546875" customWidth="1"/>
    <col min="5132" max="5147" width="14.42578125" customWidth="1"/>
    <col min="5148" max="5148" width="17.85546875" bestFit="1" customWidth="1"/>
    <col min="5386" max="5386" width="66.140625" customWidth="1"/>
    <col min="5387" max="5387" width="12.85546875" customWidth="1"/>
    <col min="5388" max="5403" width="14.42578125" customWidth="1"/>
    <col min="5404" max="5404" width="17.85546875" bestFit="1" customWidth="1"/>
    <col min="5642" max="5642" width="66.140625" customWidth="1"/>
    <col min="5643" max="5643" width="12.85546875" customWidth="1"/>
    <col min="5644" max="5659" width="14.42578125" customWidth="1"/>
    <col min="5660" max="5660" width="17.85546875" bestFit="1" customWidth="1"/>
    <col min="5898" max="5898" width="66.140625" customWidth="1"/>
    <col min="5899" max="5899" width="12.85546875" customWidth="1"/>
    <col min="5900" max="5915" width="14.42578125" customWidth="1"/>
    <col min="5916" max="5916" width="17.85546875" bestFit="1" customWidth="1"/>
    <col min="6154" max="6154" width="66.140625" customWidth="1"/>
    <col min="6155" max="6155" width="12.85546875" customWidth="1"/>
    <col min="6156" max="6171" width="14.42578125" customWidth="1"/>
    <col min="6172" max="6172" width="17.85546875" bestFit="1" customWidth="1"/>
    <col min="6410" max="6410" width="66.140625" customWidth="1"/>
    <col min="6411" max="6411" width="12.85546875" customWidth="1"/>
    <col min="6412" max="6427" width="14.42578125" customWidth="1"/>
    <col min="6428" max="6428" width="17.85546875" bestFit="1" customWidth="1"/>
    <col min="6666" max="6666" width="66.140625" customWidth="1"/>
    <col min="6667" max="6667" width="12.85546875" customWidth="1"/>
    <col min="6668" max="6683" width="14.42578125" customWidth="1"/>
    <col min="6684" max="6684" width="17.85546875" bestFit="1" customWidth="1"/>
    <col min="6922" max="6922" width="66.140625" customWidth="1"/>
    <col min="6923" max="6923" width="12.85546875" customWidth="1"/>
    <col min="6924" max="6939" width="14.42578125" customWidth="1"/>
    <col min="6940" max="6940" width="17.85546875" bestFit="1" customWidth="1"/>
    <col min="7178" max="7178" width="66.140625" customWidth="1"/>
    <col min="7179" max="7179" width="12.85546875" customWidth="1"/>
    <col min="7180" max="7195" width="14.42578125" customWidth="1"/>
    <col min="7196" max="7196" width="17.85546875" bestFit="1" customWidth="1"/>
    <col min="7434" max="7434" width="66.140625" customWidth="1"/>
    <col min="7435" max="7435" width="12.85546875" customWidth="1"/>
    <col min="7436" max="7451" width="14.42578125" customWidth="1"/>
    <col min="7452" max="7452" width="17.85546875" bestFit="1" customWidth="1"/>
    <col min="7690" max="7690" width="66.140625" customWidth="1"/>
    <col min="7691" max="7691" width="12.85546875" customWidth="1"/>
    <col min="7692" max="7707" width="14.42578125" customWidth="1"/>
    <col min="7708" max="7708" width="17.85546875" bestFit="1" customWidth="1"/>
    <col min="7946" max="7946" width="66.140625" customWidth="1"/>
    <col min="7947" max="7947" width="12.85546875" customWidth="1"/>
    <col min="7948" max="7963" width="14.42578125" customWidth="1"/>
    <col min="7964" max="7964" width="17.85546875" bestFit="1" customWidth="1"/>
    <col min="8202" max="8202" width="66.140625" customWidth="1"/>
    <col min="8203" max="8203" width="12.85546875" customWidth="1"/>
    <col min="8204" max="8219" width="14.42578125" customWidth="1"/>
    <col min="8220" max="8220" width="17.85546875" bestFit="1" customWidth="1"/>
    <col min="8458" max="8458" width="66.140625" customWidth="1"/>
    <col min="8459" max="8459" width="12.85546875" customWidth="1"/>
    <col min="8460" max="8475" width="14.42578125" customWidth="1"/>
    <col min="8476" max="8476" width="17.85546875" bestFit="1" customWidth="1"/>
    <col min="8714" max="8714" width="66.140625" customWidth="1"/>
    <col min="8715" max="8715" width="12.85546875" customWidth="1"/>
    <col min="8716" max="8731" width="14.42578125" customWidth="1"/>
    <col min="8732" max="8732" width="17.85546875" bestFit="1" customWidth="1"/>
    <col min="8970" max="8970" width="66.140625" customWidth="1"/>
    <col min="8971" max="8971" width="12.85546875" customWidth="1"/>
    <col min="8972" max="8987" width="14.42578125" customWidth="1"/>
    <col min="8988" max="8988" width="17.85546875" bestFit="1" customWidth="1"/>
    <col min="9226" max="9226" width="66.140625" customWidth="1"/>
    <col min="9227" max="9227" width="12.85546875" customWidth="1"/>
    <col min="9228" max="9243" width="14.42578125" customWidth="1"/>
    <col min="9244" max="9244" width="17.85546875" bestFit="1" customWidth="1"/>
    <col min="9482" max="9482" width="66.140625" customWidth="1"/>
    <col min="9483" max="9483" width="12.85546875" customWidth="1"/>
    <col min="9484" max="9499" width="14.42578125" customWidth="1"/>
    <col min="9500" max="9500" width="17.85546875" bestFit="1" customWidth="1"/>
    <col min="9738" max="9738" width="66.140625" customWidth="1"/>
    <col min="9739" max="9739" width="12.85546875" customWidth="1"/>
    <col min="9740" max="9755" width="14.42578125" customWidth="1"/>
    <col min="9756" max="9756" width="17.85546875" bestFit="1" customWidth="1"/>
    <col min="9994" max="9994" width="66.140625" customWidth="1"/>
    <col min="9995" max="9995" width="12.85546875" customWidth="1"/>
    <col min="9996" max="10011" width="14.42578125" customWidth="1"/>
    <col min="10012" max="10012" width="17.85546875" bestFit="1" customWidth="1"/>
    <col min="10250" max="10250" width="66.140625" customWidth="1"/>
    <col min="10251" max="10251" width="12.85546875" customWidth="1"/>
    <col min="10252" max="10267" width="14.42578125" customWidth="1"/>
    <col min="10268" max="10268" width="17.85546875" bestFit="1" customWidth="1"/>
    <col min="10506" max="10506" width="66.140625" customWidth="1"/>
    <col min="10507" max="10507" width="12.85546875" customWidth="1"/>
    <col min="10508" max="10523" width="14.42578125" customWidth="1"/>
    <col min="10524" max="10524" width="17.85546875" bestFit="1" customWidth="1"/>
    <col min="10762" max="10762" width="66.140625" customWidth="1"/>
    <col min="10763" max="10763" width="12.85546875" customWidth="1"/>
    <col min="10764" max="10779" width="14.42578125" customWidth="1"/>
    <col min="10780" max="10780" width="17.85546875" bestFit="1" customWidth="1"/>
    <col min="11018" max="11018" width="66.140625" customWidth="1"/>
    <col min="11019" max="11019" width="12.85546875" customWidth="1"/>
    <col min="11020" max="11035" width="14.42578125" customWidth="1"/>
    <col min="11036" max="11036" width="17.85546875" bestFit="1" customWidth="1"/>
    <col min="11274" max="11274" width="66.140625" customWidth="1"/>
    <col min="11275" max="11275" width="12.85546875" customWidth="1"/>
    <col min="11276" max="11291" width="14.42578125" customWidth="1"/>
    <col min="11292" max="11292" width="17.85546875" bestFit="1" customWidth="1"/>
    <col min="11530" max="11530" width="66.140625" customWidth="1"/>
    <col min="11531" max="11531" width="12.85546875" customWidth="1"/>
    <col min="11532" max="11547" width="14.42578125" customWidth="1"/>
    <col min="11548" max="11548" width="17.85546875" bestFit="1" customWidth="1"/>
    <col min="11786" max="11786" width="66.140625" customWidth="1"/>
    <col min="11787" max="11787" width="12.85546875" customWidth="1"/>
    <col min="11788" max="11803" width="14.42578125" customWidth="1"/>
    <col min="11804" max="11804" width="17.85546875" bestFit="1" customWidth="1"/>
    <col min="12042" max="12042" width="66.140625" customWidth="1"/>
    <col min="12043" max="12043" width="12.85546875" customWidth="1"/>
    <col min="12044" max="12059" width="14.42578125" customWidth="1"/>
    <col min="12060" max="12060" width="17.85546875" bestFit="1" customWidth="1"/>
    <col min="12298" max="12298" width="66.140625" customWidth="1"/>
    <col min="12299" max="12299" width="12.85546875" customWidth="1"/>
    <col min="12300" max="12315" width="14.42578125" customWidth="1"/>
    <col min="12316" max="12316" width="17.85546875" bestFit="1" customWidth="1"/>
    <col min="12554" max="12554" width="66.140625" customWidth="1"/>
    <col min="12555" max="12555" width="12.85546875" customWidth="1"/>
    <col min="12556" max="12571" width="14.42578125" customWidth="1"/>
    <col min="12572" max="12572" width="17.85546875" bestFit="1" customWidth="1"/>
    <col min="12810" max="12810" width="66.140625" customWidth="1"/>
    <col min="12811" max="12811" width="12.85546875" customWidth="1"/>
    <col min="12812" max="12827" width="14.42578125" customWidth="1"/>
    <col min="12828" max="12828" width="17.85546875" bestFit="1" customWidth="1"/>
    <col min="13066" max="13066" width="66.140625" customWidth="1"/>
    <col min="13067" max="13067" width="12.85546875" customWidth="1"/>
    <col min="13068" max="13083" width="14.42578125" customWidth="1"/>
    <col min="13084" max="13084" width="17.85546875" bestFit="1" customWidth="1"/>
    <col min="13322" max="13322" width="66.140625" customWidth="1"/>
    <col min="13323" max="13323" width="12.85546875" customWidth="1"/>
    <col min="13324" max="13339" width="14.42578125" customWidth="1"/>
    <col min="13340" max="13340" width="17.85546875" bestFit="1" customWidth="1"/>
    <col min="13578" max="13578" width="66.140625" customWidth="1"/>
    <col min="13579" max="13579" width="12.85546875" customWidth="1"/>
    <col min="13580" max="13595" width="14.42578125" customWidth="1"/>
    <col min="13596" max="13596" width="17.85546875" bestFit="1" customWidth="1"/>
    <col min="13834" max="13834" width="66.140625" customWidth="1"/>
    <col min="13835" max="13835" width="12.85546875" customWidth="1"/>
    <col min="13836" max="13851" width="14.42578125" customWidth="1"/>
    <col min="13852" max="13852" width="17.85546875" bestFit="1" customWidth="1"/>
    <col min="14090" max="14090" width="66.140625" customWidth="1"/>
    <col min="14091" max="14091" width="12.85546875" customWidth="1"/>
    <col min="14092" max="14107" width="14.42578125" customWidth="1"/>
    <col min="14108" max="14108" width="17.85546875" bestFit="1" customWidth="1"/>
    <col min="14346" max="14346" width="66.140625" customWidth="1"/>
    <col min="14347" max="14347" width="12.85546875" customWidth="1"/>
    <col min="14348" max="14363" width="14.42578125" customWidth="1"/>
    <col min="14364" max="14364" width="17.85546875" bestFit="1" customWidth="1"/>
    <col min="14602" max="14602" width="66.140625" customWidth="1"/>
    <col min="14603" max="14603" width="12.85546875" customWidth="1"/>
    <col min="14604" max="14619" width="14.42578125" customWidth="1"/>
    <col min="14620" max="14620" width="17.85546875" bestFit="1" customWidth="1"/>
    <col min="14858" max="14858" width="66.140625" customWidth="1"/>
    <col min="14859" max="14859" width="12.85546875" customWidth="1"/>
    <col min="14860" max="14875" width="14.42578125" customWidth="1"/>
    <col min="14876" max="14876" width="17.85546875" bestFit="1" customWidth="1"/>
    <col min="15114" max="15114" width="66.140625" customWidth="1"/>
    <col min="15115" max="15115" width="12.85546875" customWidth="1"/>
    <col min="15116" max="15131" width="14.42578125" customWidth="1"/>
    <col min="15132" max="15132" width="17.85546875" bestFit="1" customWidth="1"/>
    <col min="15370" max="15370" width="66.140625" customWidth="1"/>
    <col min="15371" max="15371" width="12.85546875" customWidth="1"/>
    <col min="15372" max="15387" width="14.42578125" customWidth="1"/>
    <col min="15388" max="15388" width="17.85546875" bestFit="1" customWidth="1"/>
    <col min="15626" max="15626" width="66.140625" customWidth="1"/>
    <col min="15627" max="15627" width="12.85546875" customWidth="1"/>
    <col min="15628" max="15643" width="14.42578125" customWidth="1"/>
    <col min="15644" max="15644" width="17.85546875" bestFit="1" customWidth="1"/>
    <col min="15882" max="15882" width="66.140625" customWidth="1"/>
    <col min="15883" max="15883" width="12.85546875" customWidth="1"/>
    <col min="15884" max="15899" width="14.42578125" customWidth="1"/>
    <col min="15900" max="15900" width="17.85546875" bestFit="1" customWidth="1"/>
    <col min="16138" max="16138" width="66.140625" customWidth="1"/>
    <col min="16139" max="16139" width="12.85546875" customWidth="1"/>
    <col min="16140" max="16155" width="14.42578125" customWidth="1"/>
    <col min="16156" max="16156" width="17.85546875" bestFit="1" customWidth="1"/>
  </cols>
  <sheetData>
    <row r="1" spans="1:225" ht="20.25">
      <c r="A1" s="1" t="s">
        <v>0</v>
      </c>
      <c r="B1" s="2"/>
      <c r="C1" s="3" t="s">
        <v>1</v>
      </c>
      <c r="D1" s="4"/>
      <c r="E1" s="2"/>
      <c r="F1" s="2"/>
      <c r="G1" s="2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ht="20.25">
      <c r="A2" s="6" t="s">
        <v>2</v>
      </c>
      <c r="B2" s="2"/>
      <c r="C2" s="3" t="s">
        <v>73</v>
      </c>
      <c r="D2" s="4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</row>
    <row r="3" spans="1:225" ht="20.25">
      <c r="A3" s="1"/>
      <c r="B3" s="2"/>
      <c r="C3" s="8" t="s">
        <v>4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ht="15.75">
      <c r="A4" s="9" t="s">
        <v>5</v>
      </c>
      <c r="B4" s="2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ht="15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ht="15.75">
      <c r="A7" s="45" t="s">
        <v>7</v>
      </c>
      <c r="B7" s="2"/>
      <c r="C7" s="12">
        <v>2016</v>
      </c>
      <c r="D7" s="12">
        <f t="shared" ref="D7:AA7" si="0">(C7+1)</f>
        <v>2017</v>
      </c>
      <c r="E7" s="12">
        <f t="shared" si="0"/>
        <v>2018</v>
      </c>
      <c r="F7" s="12">
        <f t="shared" si="0"/>
        <v>2019</v>
      </c>
      <c r="G7" s="12">
        <f t="shared" si="0"/>
        <v>2020</v>
      </c>
      <c r="H7" s="12">
        <f t="shared" si="0"/>
        <v>2021</v>
      </c>
      <c r="I7" s="12">
        <f t="shared" si="0"/>
        <v>2022</v>
      </c>
      <c r="J7" s="12">
        <f t="shared" si="0"/>
        <v>2023</v>
      </c>
      <c r="K7" s="12">
        <f t="shared" si="0"/>
        <v>2024</v>
      </c>
      <c r="L7" s="12">
        <f>(K7+1)</f>
        <v>2025</v>
      </c>
      <c r="M7" s="12">
        <f t="shared" si="0"/>
        <v>2026</v>
      </c>
      <c r="N7" s="12">
        <f t="shared" si="0"/>
        <v>2027</v>
      </c>
      <c r="O7" s="12">
        <f t="shared" si="0"/>
        <v>2028</v>
      </c>
      <c r="P7" s="12">
        <f t="shared" si="0"/>
        <v>2029</v>
      </c>
      <c r="Q7" s="12">
        <f t="shared" si="0"/>
        <v>2030</v>
      </c>
      <c r="R7" s="12">
        <f t="shared" si="0"/>
        <v>2031</v>
      </c>
      <c r="S7" s="12">
        <f t="shared" si="0"/>
        <v>2032</v>
      </c>
      <c r="T7" s="12">
        <f t="shared" si="0"/>
        <v>2033</v>
      </c>
      <c r="U7" s="12">
        <f t="shared" si="0"/>
        <v>2034</v>
      </c>
      <c r="V7" s="12">
        <f t="shared" si="0"/>
        <v>2035</v>
      </c>
      <c r="W7" s="12">
        <f t="shared" si="0"/>
        <v>2036</v>
      </c>
      <c r="X7" s="12">
        <f t="shared" si="0"/>
        <v>2037</v>
      </c>
      <c r="Y7" s="12">
        <f t="shared" si="0"/>
        <v>2038</v>
      </c>
      <c r="Z7" s="12">
        <f t="shared" si="0"/>
        <v>2039</v>
      </c>
      <c r="AA7" s="12">
        <f t="shared" si="0"/>
        <v>2040</v>
      </c>
      <c r="AB7" s="13" t="s">
        <v>8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ht="15.75">
      <c r="A8" s="14" t="s">
        <v>74</v>
      </c>
      <c r="B8" s="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ht="15.75">
      <c r="A9" s="14" t="s">
        <v>75</v>
      </c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ht="15.75">
      <c r="A10" s="18" t="s">
        <v>76</v>
      </c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s="2" customFormat="1">
      <c r="A11" s="19" t="s">
        <v>12</v>
      </c>
      <c r="C11" s="17">
        <v>0</v>
      </c>
      <c r="D11" s="17">
        <f>10*200*365</f>
        <v>730000</v>
      </c>
      <c r="E11" s="17">
        <f>20*200*365</f>
        <v>1460000</v>
      </c>
      <c r="F11" s="17">
        <f>30*200*365</f>
        <v>2190000</v>
      </c>
      <c r="G11" s="17">
        <f>F11</f>
        <v>2190000</v>
      </c>
      <c r="H11" s="17">
        <f t="shared" ref="H11:AA11" si="1">G11</f>
        <v>2190000</v>
      </c>
      <c r="I11" s="17">
        <f t="shared" si="1"/>
        <v>2190000</v>
      </c>
      <c r="J11" s="17">
        <f t="shared" si="1"/>
        <v>2190000</v>
      </c>
      <c r="K11" s="17">
        <f t="shared" si="1"/>
        <v>2190000</v>
      </c>
      <c r="L11" s="17">
        <f t="shared" si="1"/>
        <v>2190000</v>
      </c>
      <c r="M11" s="17">
        <f t="shared" si="1"/>
        <v>2190000</v>
      </c>
      <c r="N11" s="17">
        <f t="shared" si="1"/>
        <v>2190000</v>
      </c>
      <c r="O11" s="17">
        <f t="shared" si="1"/>
        <v>2190000</v>
      </c>
      <c r="P11" s="17">
        <f t="shared" si="1"/>
        <v>2190000</v>
      </c>
      <c r="Q11" s="17">
        <f t="shared" si="1"/>
        <v>2190000</v>
      </c>
      <c r="R11" s="17">
        <f t="shared" si="1"/>
        <v>2190000</v>
      </c>
      <c r="S11" s="17">
        <f t="shared" si="1"/>
        <v>2190000</v>
      </c>
      <c r="T11" s="17">
        <f t="shared" si="1"/>
        <v>2190000</v>
      </c>
      <c r="U11" s="17">
        <f t="shared" si="1"/>
        <v>2190000</v>
      </c>
      <c r="V11" s="17">
        <f t="shared" si="1"/>
        <v>2190000</v>
      </c>
      <c r="W11" s="17">
        <f t="shared" si="1"/>
        <v>2190000</v>
      </c>
      <c r="X11" s="17">
        <f t="shared" si="1"/>
        <v>2190000</v>
      </c>
      <c r="Y11" s="17">
        <f t="shared" si="1"/>
        <v>2190000</v>
      </c>
      <c r="Z11" s="17">
        <f t="shared" si="1"/>
        <v>2190000</v>
      </c>
      <c r="AA11" s="17">
        <f t="shared" si="1"/>
        <v>2190000</v>
      </c>
      <c r="AB11" s="16">
        <f t="shared" ref="AB11:AB23" si="2">SUM(C11:AA11)</f>
        <v>50370000</v>
      </c>
    </row>
    <row r="12" spans="1:225" s="2" customFormat="1">
      <c r="A12" s="19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/>
    </row>
    <row r="13" spans="1:225" s="2" customFormat="1">
      <c r="A13" s="19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6"/>
    </row>
    <row r="14" spans="1:225" s="2" customFormat="1">
      <c r="A14" s="19" t="s">
        <v>77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6"/>
    </row>
    <row r="15" spans="1:225" s="2" customFormat="1">
      <c r="A15" s="19"/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f>5*44*365</f>
        <v>80300</v>
      </c>
      <c r="I15" s="17">
        <f>10*44*365</f>
        <v>160600</v>
      </c>
      <c r="J15" s="17">
        <f>I15</f>
        <v>160600</v>
      </c>
      <c r="K15" s="17">
        <f t="shared" ref="K15:AA15" si="3">J15</f>
        <v>160600</v>
      </c>
      <c r="L15" s="17">
        <f t="shared" si="3"/>
        <v>160600</v>
      </c>
      <c r="M15" s="17">
        <f t="shared" si="3"/>
        <v>160600</v>
      </c>
      <c r="N15" s="17">
        <f t="shared" si="3"/>
        <v>160600</v>
      </c>
      <c r="O15" s="17">
        <f t="shared" si="3"/>
        <v>160600</v>
      </c>
      <c r="P15" s="17">
        <f t="shared" si="3"/>
        <v>160600</v>
      </c>
      <c r="Q15" s="17">
        <f t="shared" si="3"/>
        <v>160600</v>
      </c>
      <c r="R15" s="17">
        <f t="shared" si="3"/>
        <v>160600</v>
      </c>
      <c r="S15" s="17">
        <f t="shared" si="3"/>
        <v>160600</v>
      </c>
      <c r="T15" s="17">
        <f t="shared" si="3"/>
        <v>160600</v>
      </c>
      <c r="U15" s="17">
        <f t="shared" si="3"/>
        <v>160600</v>
      </c>
      <c r="V15" s="17">
        <f t="shared" si="3"/>
        <v>160600</v>
      </c>
      <c r="W15" s="17">
        <f t="shared" si="3"/>
        <v>160600</v>
      </c>
      <c r="X15" s="17">
        <f t="shared" si="3"/>
        <v>160600</v>
      </c>
      <c r="Y15" s="17">
        <f t="shared" si="3"/>
        <v>160600</v>
      </c>
      <c r="Z15" s="17">
        <f t="shared" si="3"/>
        <v>160600</v>
      </c>
      <c r="AA15" s="17">
        <f t="shared" si="3"/>
        <v>160600</v>
      </c>
      <c r="AB15" s="16">
        <f t="shared" si="2"/>
        <v>3131700</v>
      </c>
    </row>
    <row r="16" spans="1:225" s="2" customFormat="1">
      <c r="A16" s="19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6"/>
    </row>
    <row r="17" spans="1:225" s="2" customFormat="1">
      <c r="A17" s="19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225" s="2" customFormat="1">
      <c r="A18" s="19" t="s">
        <v>78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6"/>
    </row>
    <row r="19" spans="1:225" s="2" customFormat="1">
      <c r="A19" s="19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f>344109/2</f>
        <v>172054.5</v>
      </c>
      <c r="K19" s="17">
        <v>344000</v>
      </c>
      <c r="L19" s="17">
        <v>344000</v>
      </c>
      <c r="M19" s="17">
        <v>344000</v>
      </c>
      <c r="N19" s="17">
        <v>344000</v>
      </c>
      <c r="O19" s="17">
        <v>344000</v>
      </c>
      <c r="P19" s="17">
        <v>344000</v>
      </c>
      <c r="Q19" s="17">
        <v>344000</v>
      </c>
      <c r="R19" s="17">
        <v>344000</v>
      </c>
      <c r="S19" s="17">
        <v>344000</v>
      </c>
      <c r="T19" s="17">
        <v>344000</v>
      </c>
      <c r="U19" s="17">
        <v>344000</v>
      </c>
      <c r="V19" s="17">
        <v>344000</v>
      </c>
      <c r="W19" s="17">
        <v>344000</v>
      </c>
      <c r="X19" s="17">
        <v>344000</v>
      </c>
      <c r="Y19" s="17">
        <v>344000</v>
      </c>
      <c r="Z19" s="17">
        <v>344000</v>
      </c>
      <c r="AA19" s="17">
        <v>344000</v>
      </c>
      <c r="AB19" s="16">
        <f t="shared" si="2"/>
        <v>6020054.5</v>
      </c>
    </row>
    <row r="20" spans="1:225" s="2" customFormat="1">
      <c r="A20" s="19" t="s">
        <v>79</v>
      </c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8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</row>
    <row r="21" spans="1:225" s="2" customFormat="1">
      <c r="A21" s="19"/>
      <c r="B21" s="2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86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</row>
    <row r="22" spans="1:225" s="2" customFormat="1">
      <c r="A22" s="19" t="s">
        <v>19</v>
      </c>
      <c r="B22" s="20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-62110474.07</v>
      </c>
      <c r="L22" s="17">
        <v>-62110474.07</v>
      </c>
      <c r="M22" s="17">
        <v>-62110474.07</v>
      </c>
      <c r="N22" s="17">
        <v>-62110474.07</v>
      </c>
      <c r="O22" s="17">
        <v>-62110474.07</v>
      </c>
      <c r="P22" s="17">
        <v>-62110474.07</v>
      </c>
      <c r="Q22" s="17">
        <v>-62110474.07</v>
      </c>
      <c r="R22" s="17">
        <v>-62110474.07</v>
      </c>
      <c r="S22" s="17">
        <v>-62110474.07</v>
      </c>
      <c r="T22" s="17">
        <v>-62110474.07</v>
      </c>
      <c r="U22" s="17">
        <v>-62110474.07</v>
      </c>
      <c r="V22" s="17">
        <v>-62110474.07</v>
      </c>
      <c r="W22" s="17">
        <v>-62110474.07</v>
      </c>
      <c r="X22" s="17">
        <v>-62110474.07</v>
      </c>
      <c r="Y22" s="17">
        <v>-62110474.07</v>
      </c>
      <c r="Z22" s="17">
        <v>-62110474.07</v>
      </c>
      <c r="AA22" s="17">
        <v>-62110474.07</v>
      </c>
      <c r="AB22" s="16">
        <f t="shared" si="2"/>
        <v>-1055878059.1900004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</row>
    <row r="23" spans="1:225" s="2" customFormat="1">
      <c r="A23" s="19" t="s">
        <v>20</v>
      </c>
      <c r="B23" s="20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48680340.904999994</v>
      </c>
      <c r="L23" s="17">
        <v>48680340.904999994</v>
      </c>
      <c r="M23" s="17">
        <v>48680340.904999994</v>
      </c>
      <c r="N23" s="17">
        <v>48680340.904999994</v>
      </c>
      <c r="O23" s="17">
        <v>48680340.904999994</v>
      </c>
      <c r="P23" s="17">
        <v>48680340.904999994</v>
      </c>
      <c r="Q23" s="17">
        <v>48680340.904999994</v>
      </c>
      <c r="R23" s="17">
        <v>48680340.904999994</v>
      </c>
      <c r="S23" s="17">
        <v>48680340.904999994</v>
      </c>
      <c r="T23" s="17">
        <v>48680340.904999994</v>
      </c>
      <c r="U23" s="17">
        <v>48680340.904999994</v>
      </c>
      <c r="V23" s="17">
        <v>48680340.904999994</v>
      </c>
      <c r="W23" s="17">
        <v>48680340.904999994</v>
      </c>
      <c r="X23" s="17">
        <v>48680340.904999994</v>
      </c>
      <c r="Y23" s="17">
        <v>48680340.904999994</v>
      </c>
      <c r="Z23" s="17">
        <v>48680340.904999994</v>
      </c>
      <c r="AA23" s="17">
        <v>48680340.904999994</v>
      </c>
      <c r="AB23" s="21">
        <f t="shared" si="2"/>
        <v>827565795.38499963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</row>
    <row r="24" spans="1:225" s="4" customFormat="1" ht="15.75">
      <c r="A24" s="22" t="s">
        <v>21</v>
      </c>
      <c r="C24" s="23">
        <f>SUM(C9:C23)</f>
        <v>0</v>
      </c>
      <c r="D24" s="23">
        <f>SUM(D9:D23)</f>
        <v>730000</v>
      </c>
      <c r="E24" s="23">
        <f t="shared" ref="E24:AA24" si="4">SUM(E9:E23)</f>
        <v>1460000</v>
      </c>
      <c r="F24" s="23">
        <f t="shared" si="4"/>
        <v>2190000</v>
      </c>
      <c r="G24" s="23">
        <f t="shared" si="4"/>
        <v>2190000</v>
      </c>
      <c r="H24" s="23">
        <f t="shared" si="4"/>
        <v>2270300</v>
      </c>
      <c r="I24" s="23">
        <f t="shared" si="4"/>
        <v>2350600</v>
      </c>
      <c r="J24" s="23">
        <f t="shared" si="4"/>
        <v>2522654.5</v>
      </c>
      <c r="K24" s="23">
        <f t="shared" si="4"/>
        <v>-10735533.165000007</v>
      </c>
      <c r="L24" s="23">
        <f t="shared" si="4"/>
        <v>-10735533.165000007</v>
      </c>
      <c r="M24" s="23">
        <f t="shared" si="4"/>
        <v>-10735533.165000007</v>
      </c>
      <c r="N24" s="23">
        <f t="shared" si="4"/>
        <v>-10735533.165000007</v>
      </c>
      <c r="O24" s="23">
        <f t="shared" si="4"/>
        <v>-10735533.165000007</v>
      </c>
      <c r="P24" s="23">
        <f t="shared" si="4"/>
        <v>-10735533.165000007</v>
      </c>
      <c r="Q24" s="23">
        <f>SUM(Q9:Q23)</f>
        <v>-10735533.165000007</v>
      </c>
      <c r="R24" s="23">
        <f t="shared" si="4"/>
        <v>-10735533.165000007</v>
      </c>
      <c r="S24" s="23">
        <f t="shared" si="4"/>
        <v>-10735533.165000007</v>
      </c>
      <c r="T24" s="23">
        <f t="shared" si="4"/>
        <v>-10735533.165000007</v>
      </c>
      <c r="U24" s="23">
        <f t="shared" si="4"/>
        <v>-10735533.165000007</v>
      </c>
      <c r="V24" s="23">
        <f t="shared" si="4"/>
        <v>-10735533.165000007</v>
      </c>
      <c r="W24" s="23">
        <f t="shared" si="4"/>
        <v>-10735533.165000007</v>
      </c>
      <c r="X24" s="23">
        <f t="shared" si="4"/>
        <v>-10735533.165000007</v>
      </c>
      <c r="Y24" s="23">
        <f t="shared" si="4"/>
        <v>-10735533.165000007</v>
      </c>
      <c r="Z24" s="23">
        <f t="shared" si="4"/>
        <v>-10735533.165000007</v>
      </c>
      <c r="AA24" s="23">
        <f t="shared" si="4"/>
        <v>-10735533.165000007</v>
      </c>
      <c r="AB24" s="24">
        <f>SUM(C24:AA24)</f>
        <v>-168790509.30500013</v>
      </c>
    </row>
    <row r="25" spans="1:225" s="2" customFormat="1">
      <c r="A25" s="25"/>
      <c r="B25" s="2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6"/>
    </row>
    <row r="26" spans="1:225" s="2" customFormat="1">
      <c r="A26" s="41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6"/>
    </row>
    <row r="27" spans="1:225" s="2" customFormat="1" ht="15.75">
      <c r="A27" s="28" t="s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</row>
    <row r="28" spans="1:225" s="2" customFormat="1" ht="15.75">
      <c r="A28" s="29" t="s">
        <v>24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</row>
    <row r="29" spans="1:225" s="2" customFormat="1" ht="15.75">
      <c r="A29" s="2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1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1:225" s="2" customFormat="1" ht="15.75">
      <c r="A30" s="30" t="s">
        <v>25</v>
      </c>
      <c r="C30" s="27"/>
      <c r="D30" s="27">
        <f>10*14.7*365</f>
        <v>53655</v>
      </c>
      <c r="E30" s="27">
        <f>20*14.7*365</f>
        <v>107310</v>
      </c>
      <c r="F30" s="27">
        <f>30*14.7*365</f>
        <v>160965</v>
      </c>
      <c r="G30" s="27">
        <f t="shared" ref="G30:AA30" si="5">30*14.7*365</f>
        <v>160965</v>
      </c>
      <c r="H30" s="27">
        <f t="shared" si="5"/>
        <v>160965</v>
      </c>
      <c r="I30" s="27">
        <f t="shared" si="5"/>
        <v>160965</v>
      </c>
      <c r="J30" s="27">
        <f t="shared" si="5"/>
        <v>160965</v>
      </c>
      <c r="K30" s="27">
        <f t="shared" si="5"/>
        <v>160965</v>
      </c>
      <c r="L30" s="27">
        <f t="shared" si="5"/>
        <v>160965</v>
      </c>
      <c r="M30" s="27">
        <f t="shared" si="5"/>
        <v>160965</v>
      </c>
      <c r="N30" s="27">
        <f t="shared" si="5"/>
        <v>160965</v>
      </c>
      <c r="O30" s="27">
        <f t="shared" si="5"/>
        <v>160965</v>
      </c>
      <c r="P30" s="27">
        <f t="shared" si="5"/>
        <v>160965</v>
      </c>
      <c r="Q30" s="27">
        <f t="shared" si="5"/>
        <v>160965</v>
      </c>
      <c r="R30" s="27">
        <f t="shared" si="5"/>
        <v>160965</v>
      </c>
      <c r="S30" s="27">
        <f t="shared" si="5"/>
        <v>160965</v>
      </c>
      <c r="T30" s="27">
        <f t="shared" si="5"/>
        <v>160965</v>
      </c>
      <c r="U30" s="27">
        <f t="shared" si="5"/>
        <v>160965</v>
      </c>
      <c r="V30" s="27">
        <f t="shared" si="5"/>
        <v>160965</v>
      </c>
      <c r="W30" s="27">
        <f t="shared" si="5"/>
        <v>160965</v>
      </c>
      <c r="X30" s="27">
        <f t="shared" si="5"/>
        <v>160965</v>
      </c>
      <c r="Y30" s="27">
        <f t="shared" si="5"/>
        <v>160965</v>
      </c>
      <c r="Z30" s="27">
        <f t="shared" si="5"/>
        <v>160965</v>
      </c>
      <c r="AA30" s="27">
        <f t="shared" si="5"/>
        <v>160965</v>
      </c>
      <c r="AB30" s="16">
        <f t="shared" ref="AB30:AB37" si="6">SUM(C30:AA30)</f>
        <v>3702195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1:225" s="2" customFormat="1" ht="15.75">
      <c r="A31" s="30" t="s">
        <v>26</v>
      </c>
      <c r="C31" s="27"/>
      <c r="D31" s="27">
        <f>10*40*365</f>
        <v>146000</v>
      </c>
      <c r="E31" s="27">
        <f>20*40*365</f>
        <v>292000</v>
      </c>
      <c r="F31" s="27">
        <f>30*40*365</f>
        <v>438000</v>
      </c>
      <c r="G31" s="27">
        <f t="shared" ref="G31:AA31" si="7">30*40*365</f>
        <v>438000</v>
      </c>
      <c r="H31" s="27">
        <f t="shared" si="7"/>
        <v>438000</v>
      </c>
      <c r="I31" s="27">
        <f t="shared" si="7"/>
        <v>438000</v>
      </c>
      <c r="J31" s="27">
        <f t="shared" si="7"/>
        <v>438000</v>
      </c>
      <c r="K31" s="27">
        <f t="shared" si="7"/>
        <v>438000</v>
      </c>
      <c r="L31" s="27">
        <f t="shared" si="7"/>
        <v>438000</v>
      </c>
      <c r="M31" s="27">
        <f t="shared" si="7"/>
        <v>438000</v>
      </c>
      <c r="N31" s="27">
        <f t="shared" si="7"/>
        <v>438000</v>
      </c>
      <c r="O31" s="27">
        <f t="shared" si="7"/>
        <v>438000</v>
      </c>
      <c r="P31" s="27">
        <f t="shared" si="7"/>
        <v>438000</v>
      </c>
      <c r="Q31" s="27">
        <f t="shared" si="7"/>
        <v>438000</v>
      </c>
      <c r="R31" s="27">
        <f t="shared" si="7"/>
        <v>438000</v>
      </c>
      <c r="S31" s="27">
        <f t="shared" si="7"/>
        <v>438000</v>
      </c>
      <c r="T31" s="27">
        <f t="shared" si="7"/>
        <v>438000</v>
      </c>
      <c r="U31" s="27">
        <f t="shared" si="7"/>
        <v>438000</v>
      </c>
      <c r="V31" s="27">
        <f t="shared" si="7"/>
        <v>438000</v>
      </c>
      <c r="W31" s="27">
        <f t="shared" si="7"/>
        <v>438000</v>
      </c>
      <c r="X31" s="27">
        <f t="shared" si="7"/>
        <v>438000</v>
      </c>
      <c r="Y31" s="27">
        <f t="shared" si="7"/>
        <v>438000</v>
      </c>
      <c r="Z31" s="27">
        <f t="shared" si="7"/>
        <v>438000</v>
      </c>
      <c r="AA31" s="27">
        <f t="shared" si="7"/>
        <v>438000</v>
      </c>
      <c r="AB31" s="16">
        <f t="shared" si="6"/>
        <v>10074000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1:225" s="2" customFormat="1" ht="15.75">
      <c r="A32" s="2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1:225" s="2" customFormat="1" ht="15.75">
      <c r="A33" s="87" t="s">
        <v>27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-66778808.969999999</v>
      </c>
      <c r="L33" s="27">
        <v>-66778808.969999999</v>
      </c>
      <c r="M33" s="27">
        <v>-66778808.969999999</v>
      </c>
      <c r="N33" s="27">
        <v>-66778808.969999999</v>
      </c>
      <c r="O33" s="27">
        <v>-66778808.969999999</v>
      </c>
      <c r="P33" s="27">
        <v>-66778808.969999999</v>
      </c>
      <c r="Q33" s="27">
        <v>-66778808.969999999</v>
      </c>
      <c r="R33" s="27">
        <v>-66778808.969999999</v>
      </c>
      <c r="S33" s="27">
        <v>-66778808.969999999</v>
      </c>
      <c r="T33" s="27">
        <v>-66778808.969999999</v>
      </c>
      <c r="U33" s="27">
        <v>-66778808.969999999</v>
      </c>
      <c r="V33" s="27">
        <v>-66778808.969999999</v>
      </c>
      <c r="W33" s="27">
        <v>-66778808.969999999</v>
      </c>
      <c r="X33" s="27">
        <v>-66778808.969999999</v>
      </c>
      <c r="Y33" s="27">
        <v>-66778808.969999999</v>
      </c>
      <c r="Z33" s="27">
        <v>-66778808.969999999</v>
      </c>
      <c r="AA33" s="27">
        <v>-66778808.969999999</v>
      </c>
      <c r="AB33" s="16">
        <f t="shared" si="6"/>
        <v>-1135239752.4900002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1:225" s="2" customFormat="1" ht="15.75">
      <c r="A34" s="87" t="s">
        <v>28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53371984.056000002</v>
      </c>
      <c r="L34" s="27">
        <v>53371984.056000002</v>
      </c>
      <c r="M34" s="27">
        <v>53371984.056000002</v>
      </c>
      <c r="N34" s="27">
        <v>53371984.056000002</v>
      </c>
      <c r="O34" s="27">
        <v>53371984.056000002</v>
      </c>
      <c r="P34" s="27">
        <v>53371984.056000002</v>
      </c>
      <c r="Q34" s="27">
        <v>53371984.056000002</v>
      </c>
      <c r="R34" s="27">
        <v>53371984.056000002</v>
      </c>
      <c r="S34" s="27">
        <v>53371984.056000002</v>
      </c>
      <c r="T34" s="27">
        <v>53371984.056000002</v>
      </c>
      <c r="U34" s="27">
        <v>53371984.056000002</v>
      </c>
      <c r="V34" s="27">
        <v>53371984.056000002</v>
      </c>
      <c r="W34" s="27">
        <v>53371984.056000002</v>
      </c>
      <c r="X34" s="27">
        <v>53371984.056000002</v>
      </c>
      <c r="Y34" s="27">
        <v>53371984.056000002</v>
      </c>
      <c r="Z34" s="27">
        <v>53371984.056000002</v>
      </c>
      <c r="AA34" s="27">
        <v>53371984.056000002</v>
      </c>
      <c r="AB34" s="16">
        <f t="shared" si="6"/>
        <v>907323728.95200002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1:225" s="2" customFormat="1" ht="15.75">
      <c r="A35" s="30" t="s">
        <v>80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f>(51085.98+100631.52)/2</f>
        <v>75858.75</v>
      </c>
      <c r="K35" s="88">
        <f>J35*2</f>
        <v>151717.5</v>
      </c>
      <c r="L35" s="27">
        <f>K35</f>
        <v>151717.5</v>
      </c>
      <c r="M35" s="27">
        <f t="shared" ref="M35:AA35" si="8">L35</f>
        <v>151717.5</v>
      </c>
      <c r="N35" s="27">
        <f t="shared" si="8"/>
        <v>151717.5</v>
      </c>
      <c r="O35" s="27">
        <f t="shared" si="8"/>
        <v>151717.5</v>
      </c>
      <c r="P35" s="27">
        <f t="shared" si="8"/>
        <v>151717.5</v>
      </c>
      <c r="Q35" s="27">
        <f t="shared" si="8"/>
        <v>151717.5</v>
      </c>
      <c r="R35" s="27">
        <f t="shared" si="8"/>
        <v>151717.5</v>
      </c>
      <c r="S35" s="27">
        <f t="shared" si="8"/>
        <v>151717.5</v>
      </c>
      <c r="T35" s="27">
        <f t="shared" si="8"/>
        <v>151717.5</v>
      </c>
      <c r="U35" s="27">
        <f t="shared" si="8"/>
        <v>151717.5</v>
      </c>
      <c r="V35" s="27">
        <f t="shared" si="8"/>
        <v>151717.5</v>
      </c>
      <c r="W35" s="27">
        <f t="shared" si="8"/>
        <v>151717.5</v>
      </c>
      <c r="X35" s="27">
        <f t="shared" si="8"/>
        <v>151717.5</v>
      </c>
      <c r="Y35" s="27">
        <f t="shared" si="8"/>
        <v>151717.5</v>
      </c>
      <c r="Z35" s="27">
        <f t="shared" si="8"/>
        <v>151717.5</v>
      </c>
      <c r="AA35" s="27">
        <f t="shared" si="8"/>
        <v>151717.5</v>
      </c>
      <c r="AB35" s="16">
        <f t="shared" si="6"/>
        <v>2655056.25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1:225" s="2" customFormat="1" ht="15.75">
      <c r="A36" s="3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1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</row>
    <row r="37" spans="1:225" s="2" customFormat="1" ht="15.75">
      <c r="A37" s="33" t="s">
        <v>81</v>
      </c>
      <c r="B37" s="31"/>
      <c r="C37" s="32">
        <v>580555</v>
      </c>
      <c r="D37" s="32">
        <v>580555</v>
      </c>
      <c r="E37" s="32">
        <v>580555</v>
      </c>
      <c r="F37" s="32">
        <v>580555</v>
      </c>
      <c r="G37" s="32">
        <v>580555</v>
      </c>
      <c r="H37" s="32">
        <v>580555</v>
      </c>
      <c r="I37" s="32">
        <v>580555</v>
      </c>
      <c r="J37" s="32">
        <v>580555</v>
      </c>
      <c r="K37" s="32">
        <v>580555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16">
        <f t="shared" si="6"/>
        <v>5224995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1:225" s="2" customFormat="1" ht="15.75">
      <c r="A38" s="33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21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</row>
    <row r="39" spans="1:225" s="4" customFormat="1" ht="15.75">
      <c r="A39" s="22" t="s">
        <v>30</v>
      </c>
      <c r="C39" s="23">
        <f>SUM(C28:C38)</f>
        <v>580555</v>
      </c>
      <c r="D39" s="23">
        <f t="shared" ref="D39:Z39" si="9">SUM(D28:D38)</f>
        <v>780210</v>
      </c>
      <c r="E39" s="23">
        <f t="shared" si="9"/>
        <v>979865</v>
      </c>
      <c r="F39" s="23">
        <f t="shared" si="9"/>
        <v>1179520</v>
      </c>
      <c r="G39" s="23">
        <f t="shared" si="9"/>
        <v>1179520</v>
      </c>
      <c r="H39" s="23">
        <f t="shared" si="9"/>
        <v>1179520</v>
      </c>
      <c r="I39" s="23">
        <f t="shared" si="9"/>
        <v>1179520</v>
      </c>
      <c r="J39" s="23">
        <f t="shared" si="9"/>
        <v>1255378.75</v>
      </c>
      <c r="K39" s="23">
        <f t="shared" si="9"/>
        <v>-12075587.413999997</v>
      </c>
      <c r="L39" s="23">
        <f t="shared" si="9"/>
        <v>-12656142.413999997</v>
      </c>
      <c r="M39" s="23">
        <f t="shared" si="9"/>
        <v>-12656142.413999997</v>
      </c>
      <c r="N39" s="23">
        <f t="shared" si="9"/>
        <v>-12656142.413999997</v>
      </c>
      <c r="O39" s="23">
        <f t="shared" si="9"/>
        <v>-12656142.413999997</v>
      </c>
      <c r="P39" s="23">
        <f t="shared" si="9"/>
        <v>-12656142.413999997</v>
      </c>
      <c r="Q39" s="23">
        <f t="shared" si="9"/>
        <v>-12656142.413999997</v>
      </c>
      <c r="R39" s="23">
        <f t="shared" si="9"/>
        <v>-12656142.413999997</v>
      </c>
      <c r="S39" s="23">
        <f t="shared" si="9"/>
        <v>-12656142.413999997</v>
      </c>
      <c r="T39" s="23">
        <f t="shared" si="9"/>
        <v>-12656142.413999997</v>
      </c>
      <c r="U39" s="23">
        <f t="shared" si="9"/>
        <v>-12656142.413999997</v>
      </c>
      <c r="V39" s="23">
        <f t="shared" si="9"/>
        <v>-12656142.413999997</v>
      </c>
      <c r="W39" s="23">
        <f t="shared" si="9"/>
        <v>-12656142.413999997</v>
      </c>
      <c r="X39" s="23">
        <f t="shared" si="9"/>
        <v>-12656142.413999997</v>
      </c>
      <c r="Y39" s="23">
        <f t="shared" si="9"/>
        <v>-12656142.413999997</v>
      </c>
      <c r="Z39" s="23">
        <f t="shared" si="9"/>
        <v>-12656142.413999997</v>
      </c>
      <c r="AA39" s="23">
        <f>SUM(AA28:AA38)</f>
        <v>-12656142.413999997</v>
      </c>
      <c r="AB39" s="24">
        <f>SUM(C39:AA39)</f>
        <v>-206259777.28800002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</row>
    <row r="40" spans="1:225" s="2" customFormat="1" ht="15.75">
      <c r="A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16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</row>
    <row r="41" spans="1:225" s="4" customFormat="1" ht="15.75">
      <c r="A41" s="22" t="s">
        <v>31</v>
      </c>
      <c r="C41" s="38">
        <f>(C24-C39)</f>
        <v>-580555</v>
      </c>
      <c r="D41" s="38">
        <f t="shared" ref="D41:AA41" si="10">(D24-D39)</f>
        <v>-50210</v>
      </c>
      <c r="E41" s="38">
        <f t="shared" si="10"/>
        <v>480135</v>
      </c>
      <c r="F41" s="38">
        <f t="shared" si="10"/>
        <v>1010480</v>
      </c>
      <c r="G41" s="38">
        <f t="shared" si="10"/>
        <v>1010480</v>
      </c>
      <c r="H41" s="38">
        <f t="shared" si="10"/>
        <v>1090780</v>
      </c>
      <c r="I41" s="38">
        <f t="shared" si="10"/>
        <v>1171080</v>
      </c>
      <c r="J41" s="38">
        <f>(J24-J39)</f>
        <v>1267275.75</v>
      </c>
      <c r="K41" s="38">
        <f t="shared" si="10"/>
        <v>1340054.2489999905</v>
      </c>
      <c r="L41" s="38">
        <f t="shared" si="10"/>
        <v>1920609.2489999905</v>
      </c>
      <c r="M41" s="38">
        <f t="shared" si="10"/>
        <v>1920609.2489999905</v>
      </c>
      <c r="N41" s="38">
        <f t="shared" si="10"/>
        <v>1920609.2489999905</v>
      </c>
      <c r="O41" s="38">
        <f t="shared" si="10"/>
        <v>1920609.2489999905</v>
      </c>
      <c r="P41" s="38">
        <f t="shared" si="10"/>
        <v>1920609.2489999905</v>
      </c>
      <c r="Q41" s="38">
        <f t="shared" si="10"/>
        <v>1920609.2489999905</v>
      </c>
      <c r="R41" s="38">
        <f t="shared" si="10"/>
        <v>1920609.2489999905</v>
      </c>
      <c r="S41" s="38">
        <f t="shared" si="10"/>
        <v>1920609.2489999905</v>
      </c>
      <c r="T41" s="38">
        <f t="shared" si="10"/>
        <v>1920609.2489999905</v>
      </c>
      <c r="U41" s="38">
        <f t="shared" si="10"/>
        <v>1920609.2489999905</v>
      </c>
      <c r="V41" s="38">
        <f t="shared" si="10"/>
        <v>1920609.2489999905</v>
      </c>
      <c r="W41" s="38">
        <f t="shared" si="10"/>
        <v>1920609.2489999905</v>
      </c>
      <c r="X41" s="38">
        <f t="shared" si="10"/>
        <v>1920609.2489999905</v>
      </c>
      <c r="Y41" s="38">
        <f t="shared" si="10"/>
        <v>1920609.2489999905</v>
      </c>
      <c r="Z41" s="38">
        <f t="shared" si="10"/>
        <v>1920609.2489999905</v>
      </c>
      <c r="AA41" s="38">
        <f t="shared" si="10"/>
        <v>1920609.2489999905</v>
      </c>
      <c r="AB41" s="39">
        <f>SUM(C41:AA41)</f>
        <v>37469267.982999839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</row>
    <row r="42" spans="1:225" s="2" customFormat="1" ht="15.75">
      <c r="A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16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</row>
    <row r="43" spans="1:225" s="2" customFormat="1" ht="15.75">
      <c r="A43" s="41" t="s">
        <v>32</v>
      </c>
      <c r="B43" s="2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6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1:225" s="2" customFormat="1" ht="15.75">
      <c r="A44" s="42" t="s">
        <v>33</v>
      </c>
      <c r="B44" s="20"/>
      <c r="C44" s="17">
        <v>-5250000</v>
      </c>
      <c r="D44" s="17">
        <v>-4500000</v>
      </c>
      <c r="E44" s="17">
        <v>-4750000</v>
      </c>
      <c r="F44" s="17">
        <v>-556304</v>
      </c>
      <c r="G44" s="17"/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6">
        <f t="shared" ref="AB44:AB46" si="11">SUM(C44:AA44)</f>
        <v>-15056304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</row>
    <row r="45" spans="1:225" s="2" customFormat="1" ht="15.75">
      <c r="A45" s="42" t="s">
        <v>34</v>
      </c>
      <c r="B45" s="20"/>
      <c r="C45" s="17">
        <v>0</v>
      </c>
      <c r="D45" s="17">
        <v>0</v>
      </c>
      <c r="E45" s="17">
        <v>0</v>
      </c>
      <c r="F45" s="17">
        <v>-721848</v>
      </c>
      <c r="G45" s="17">
        <v>-1270000</v>
      </c>
      <c r="H45" s="17">
        <v>-1270978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6">
        <f t="shared" si="11"/>
        <v>-3262826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</row>
    <row r="46" spans="1:225" s="2" customFormat="1" ht="15.75">
      <c r="A46" s="42" t="s">
        <v>35</v>
      </c>
      <c r="B46" s="20"/>
      <c r="C46" s="17">
        <v>0</v>
      </c>
      <c r="D46" s="17">
        <v>0</v>
      </c>
      <c r="E46" s="17">
        <v>0</v>
      </c>
      <c r="F46" s="17">
        <v>-721848</v>
      </c>
      <c r="G46" s="17">
        <v>-319022</v>
      </c>
      <c r="H46" s="17">
        <v>0</v>
      </c>
      <c r="I46" s="17">
        <v>-2500000</v>
      </c>
      <c r="J46" s="17">
        <v>-2500000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6">
        <f t="shared" si="11"/>
        <v>-6040870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</row>
    <row r="47" spans="1:225" s="2" customFormat="1" ht="15.75">
      <c r="A47" s="43"/>
      <c r="B47" s="15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21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</row>
    <row r="48" spans="1:225" s="2" customFormat="1" ht="15.75">
      <c r="A48" s="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16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</row>
    <row r="49" spans="1:225" s="4" customFormat="1" ht="15.75">
      <c r="A49" s="11" t="s">
        <v>36</v>
      </c>
      <c r="C49" s="38">
        <f>SUM(C43:C47)</f>
        <v>-5250000</v>
      </c>
      <c r="D49" s="38">
        <f t="shared" ref="D49:AA49" si="12">SUM(D43:D47)</f>
        <v>-4500000</v>
      </c>
      <c r="E49" s="38">
        <f t="shared" si="12"/>
        <v>-4750000</v>
      </c>
      <c r="F49" s="38">
        <f t="shared" si="12"/>
        <v>-2000000</v>
      </c>
      <c r="G49" s="38">
        <f t="shared" si="12"/>
        <v>-1589022</v>
      </c>
      <c r="H49" s="38">
        <f t="shared" si="12"/>
        <v>-1270978</v>
      </c>
      <c r="I49" s="38">
        <f t="shared" si="12"/>
        <v>-2500000</v>
      </c>
      <c r="J49" s="38">
        <f t="shared" si="12"/>
        <v>-2500000</v>
      </c>
      <c r="K49" s="38">
        <f t="shared" si="12"/>
        <v>0</v>
      </c>
      <c r="L49" s="38">
        <f t="shared" si="12"/>
        <v>0</v>
      </c>
      <c r="M49" s="38">
        <f t="shared" si="12"/>
        <v>0</v>
      </c>
      <c r="N49" s="38">
        <f t="shared" si="12"/>
        <v>0</v>
      </c>
      <c r="O49" s="38">
        <f t="shared" si="12"/>
        <v>0</v>
      </c>
      <c r="P49" s="38">
        <f t="shared" si="12"/>
        <v>0</v>
      </c>
      <c r="Q49" s="38">
        <f t="shared" si="12"/>
        <v>0</v>
      </c>
      <c r="R49" s="38">
        <f t="shared" si="12"/>
        <v>0</v>
      </c>
      <c r="S49" s="38">
        <f t="shared" si="12"/>
        <v>0</v>
      </c>
      <c r="T49" s="38">
        <f t="shared" si="12"/>
        <v>0</v>
      </c>
      <c r="U49" s="38">
        <f t="shared" si="12"/>
        <v>0</v>
      </c>
      <c r="V49" s="38">
        <f t="shared" si="12"/>
        <v>0</v>
      </c>
      <c r="W49" s="38">
        <f t="shared" si="12"/>
        <v>0</v>
      </c>
      <c r="X49" s="38">
        <f t="shared" si="12"/>
        <v>0</v>
      </c>
      <c r="Y49" s="38">
        <f t="shared" si="12"/>
        <v>0</v>
      </c>
      <c r="Z49" s="38">
        <f t="shared" si="12"/>
        <v>0</v>
      </c>
      <c r="AA49" s="38">
        <f t="shared" si="12"/>
        <v>0</v>
      </c>
      <c r="AB49" s="39">
        <f>SUM(C49:AA49)</f>
        <v>-24360000</v>
      </c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</row>
    <row r="50" spans="1:225" s="2" customFormat="1" ht="15.75">
      <c r="A50" s="4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16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</row>
    <row r="51" spans="1:225" s="4" customFormat="1" ht="15.75">
      <c r="A51" s="11" t="s">
        <v>37</v>
      </c>
      <c r="C51" s="38">
        <f>C41+C49</f>
        <v>-5830555</v>
      </c>
      <c r="D51" s="38">
        <f>C51+D49+D41</f>
        <v>-10380765</v>
      </c>
      <c r="E51" s="38">
        <f t="shared" ref="E51:AA51" si="13">D51+E49+E41</f>
        <v>-14650630</v>
      </c>
      <c r="F51" s="38">
        <f t="shared" si="13"/>
        <v>-15640150</v>
      </c>
      <c r="G51" s="38">
        <f t="shared" si="13"/>
        <v>-16218692</v>
      </c>
      <c r="H51" s="38">
        <f t="shared" si="13"/>
        <v>-16398890</v>
      </c>
      <c r="I51" s="38">
        <f t="shared" si="13"/>
        <v>-17727810</v>
      </c>
      <c r="J51" s="38">
        <f>I51+J49+J41</f>
        <v>-18960534.25</v>
      </c>
      <c r="K51" s="38">
        <f t="shared" si="13"/>
        <v>-17620480.001000009</v>
      </c>
      <c r="L51" s="38">
        <f>K51+L49+L41</f>
        <v>-15699870.752000019</v>
      </c>
      <c r="M51" s="38">
        <f t="shared" si="13"/>
        <v>-13779261.503000028</v>
      </c>
      <c r="N51" s="38">
        <f t="shared" si="13"/>
        <v>-11858652.254000038</v>
      </c>
      <c r="O51" s="38">
        <f t="shared" si="13"/>
        <v>-9938043.0050000474</v>
      </c>
      <c r="P51" s="38">
        <f t="shared" si="13"/>
        <v>-8017433.7560000569</v>
      </c>
      <c r="Q51" s="38">
        <f t="shared" si="13"/>
        <v>-6096824.5070000663</v>
      </c>
      <c r="R51" s="38">
        <f t="shared" si="13"/>
        <v>-4176215.2580000758</v>
      </c>
      <c r="S51" s="38">
        <f t="shared" si="13"/>
        <v>-2255606.0090000853</v>
      </c>
      <c r="T51" s="38">
        <f t="shared" si="13"/>
        <v>-334996.76000009477</v>
      </c>
      <c r="U51" s="38">
        <f t="shared" si="13"/>
        <v>1585612.4889998958</v>
      </c>
      <c r="V51" s="38">
        <f t="shared" si="13"/>
        <v>3506221.7379998863</v>
      </c>
      <c r="W51" s="38">
        <f t="shared" si="13"/>
        <v>5426830.9869998768</v>
      </c>
      <c r="X51" s="38">
        <f t="shared" si="13"/>
        <v>7347440.2359998673</v>
      </c>
      <c r="Y51" s="38">
        <f t="shared" si="13"/>
        <v>9268049.4849998578</v>
      </c>
      <c r="Z51" s="38">
        <f t="shared" si="13"/>
        <v>11188658.733999848</v>
      </c>
      <c r="AA51" s="46">
        <f t="shared" si="13"/>
        <v>13109267.982999839</v>
      </c>
      <c r="AB51" s="2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</row>
    <row r="52" spans="1:225" s="2" customFormat="1" ht="15.75">
      <c r="A52" s="45"/>
      <c r="C52" s="27"/>
      <c r="D52" s="31"/>
      <c r="E52" s="31"/>
      <c r="F52" s="47"/>
      <c r="G52" s="47"/>
      <c r="H52" s="47"/>
      <c r="I52" s="47"/>
      <c r="J52" s="47"/>
      <c r="K52" s="47"/>
      <c r="L52" s="47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16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</row>
    <row r="53" spans="1:225" s="2" customFormat="1" ht="15.75">
      <c r="A53" s="45"/>
      <c r="C53" s="27"/>
      <c r="D53" s="31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</row>
    <row r="54" spans="1:225" s="2" customFormat="1" ht="15.75" hidden="1">
      <c r="A54" s="45" t="s">
        <v>38</v>
      </c>
      <c r="C54" s="27">
        <v>0</v>
      </c>
      <c r="D54" s="27"/>
      <c r="E54" s="27"/>
      <c r="F54" s="27"/>
      <c r="G54" s="27"/>
      <c r="H54" s="27"/>
      <c r="I54" s="27"/>
      <c r="J54" s="27"/>
      <c r="K54" s="27"/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/>
      <c r="T54" s="27"/>
      <c r="U54" s="27"/>
      <c r="V54" s="27"/>
      <c r="W54" s="27"/>
      <c r="X54" s="27"/>
      <c r="Y54" s="27"/>
      <c r="Z54" s="27"/>
      <c r="AA54" s="27"/>
      <c r="AB54" s="27">
        <f>SUM(C54:R54)</f>
        <v>0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</row>
    <row r="55" spans="1:225" s="2" customFormat="1" ht="15.75" hidden="1">
      <c r="A55" s="4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</row>
    <row r="56" spans="1:225" s="2" customFormat="1" ht="15.75" hidden="1">
      <c r="A56" s="4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</row>
    <row r="57" spans="1:225" s="2" customFormat="1" ht="15.75" hidden="1">
      <c r="A57" s="45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</row>
    <row r="58" spans="1:225" s="2" customFormat="1" ht="15.75" hidden="1">
      <c r="A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</row>
    <row r="59" spans="1:225" s="2" customFormat="1" ht="15.75" hidden="1">
      <c r="A59" s="45" t="s">
        <v>39</v>
      </c>
      <c r="B59" s="2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</row>
    <row r="60" spans="1:225" s="2" customFormat="1" ht="15.75" hidden="1">
      <c r="A60" s="43"/>
      <c r="B60" s="20"/>
      <c r="C60" s="27"/>
      <c r="D60" s="27"/>
      <c r="E60" s="32"/>
      <c r="F60" s="32"/>
      <c r="G60" s="32"/>
      <c r="H60" s="32"/>
      <c r="I60" s="32"/>
      <c r="J60" s="32"/>
      <c r="K60" s="32"/>
      <c r="L60" s="32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</row>
    <row r="61" spans="1:225" s="2" customFormat="1" ht="15.75" hidden="1">
      <c r="A61" s="48" t="s">
        <v>40</v>
      </c>
      <c r="B61" s="15"/>
      <c r="C61" s="32">
        <f t="shared" ref="C61:R61" si="14">C109</f>
        <v>0</v>
      </c>
      <c r="D61" s="32"/>
      <c r="E61" s="32"/>
      <c r="F61" s="32"/>
      <c r="G61" s="32"/>
      <c r="H61" s="32"/>
      <c r="I61" s="32"/>
      <c r="J61" s="32"/>
      <c r="K61" s="32"/>
      <c r="L61" s="32">
        <f t="shared" si="14"/>
        <v>0</v>
      </c>
      <c r="M61" s="32">
        <f t="shared" si="14"/>
        <v>312250</v>
      </c>
      <c r="N61" s="32">
        <f t="shared" si="14"/>
        <v>223250</v>
      </c>
      <c r="O61" s="32">
        <f t="shared" si="14"/>
        <v>223000</v>
      </c>
      <c r="P61" s="32">
        <f t="shared" si="14"/>
        <v>223250</v>
      </c>
      <c r="Q61" s="32">
        <f t="shared" si="14"/>
        <v>111500</v>
      </c>
      <c r="R61" s="32">
        <f t="shared" si="14"/>
        <v>0</v>
      </c>
      <c r="S61" s="32"/>
      <c r="T61" s="32"/>
      <c r="U61" s="32"/>
      <c r="V61" s="32"/>
      <c r="W61" s="32"/>
      <c r="X61" s="32"/>
      <c r="Y61" s="32"/>
      <c r="Z61" s="32"/>
      <c r="AA61" s="32"/>
      <c r="AB61" s="2">
        <f>SUM(C61:R61)</f>
        <v>1093250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</row>
    <row r="62" spans="1:225" s="2" customFormat="1" ht="15.75" hidden="1">
      <c r="A62" s="45" t="s">
        <v>41</v>
      </c>
      <c r="C62" s="27">
        <v>0</v>
      </c>
      <c r="D62" s="27"/>
      <c r="E62" s="27"/>
      <c r="F62" s="27"/>
      <c r="G62" s="27"/>
      <c r="H62" s="27"/>
      <c r="I62" s="27"/>
      <c r="J62" s="27"/>
      <c r="K62" s="27"/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/>
      <c r="T62" s="27"/>
      <c r="U62" s="27"/>
      <c r="V62" s="27"/>
      <c r="W62" s="27"/>
      <c r="X62" s="27"/>
      <c r="Y62" s="27"/>
      <c r="Z62" s="27"/>
      <c r="AA62" s="27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</row>
    <row r="63" spans="1:225" s="2" customFormat="1" ht="15.75" hidden="1">
      <c r="A63" s="49" t="s">
        <v>42</v>
      </c>
      <c r="B63" s="31"/>
      <c r="C63" s="50">
        <f t="shared" ref="C63:R63" si="15">SUM(C60:C62)</f>
        <v>0</v>
      </c>
      <c r="D63" s="50"/>
      <c r="E63" s="50"/>
      <c r="F63" s="50"/>
      <c r="G63" s="50"/>
      <c r="H63" s="50"/>
      <c r="I63" s="50"/>
      <c r="J63" s="50"/>
      <c r="K63" s="50"/>
      <c r="L63" s="50">
        <f t="shared" si="15"/>
        <v>0</v>
      </c>
      <c r="M63" s="50">
        <f t="shared" si="15"/>
        <v>312250</v>
      </c>
      <c r="N63" s="50">
        <f t="shared" si="15"/>
        <v>223250</v>
      </c>
      <c r="O63" s="50">
        <f t="shared" si="15"/>
        <v>223000</v>
      </c>
      <c r="P63" s="50">
        <f t="shared" si="15"/>
        <v>223250</v>
      </c>
      <c r="Q63" s="50">
        <f t="shared" si="15"/>
        <v>111500</v>
      </c>
      <c r="R63" s="50">
        <f t="shared" si="15"/>
        <v>0</v>
      </c>
      <c r="S63" s="51"/>
      <c r="T63" s="51"/>
      <c r="U63" s="51"/>
      <c r="V63" s="51"/>
      <c r="W63" s="51"/>
      <c r="X63" s="51"/>
      <c r="Y63" s="51"/>
      <c r="Z63" s="51"/>
      <c r="AA63" s="51"/>
      <c r="AB63" s="2">
        <f>SUM(C63:R63)</f>
        <v>1093250</v>
      </c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1:225" s="2" customFormat="1" ht="15.75" hidden="1">
      <c r="A64" s="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1:225" s="2" customFormat="1" ht="15.75" hidden="1">
      <c r="A65" s="45" t="s">
        <v>43</v>
      </c>
      <c r="B65" s="20"/>
      <c r="C65" s="26">
        <f>C41-C63-C62</f>
        <v>-580555</v>
      </c>
      <c r="D65" s="26"/>
      <c r="E65" s="26"/>
      <c r="F65" s="26"/>
      <c r="G65" s="26"/>
      <c r="H65" s="26"/>
      <c r="I65" s="26"/>
      <c r="J65" s="26"/>
      <c r="K65" s="26"/>
      <c r="L65" s="26">
        <f t="shared" ref="L65:R65" si="16">L41-L63</f>
        <v>1920609.2489999905</v>
      </c>
      <c r="M65" s="26">
        <f t="shared" si="16"/>
        <v>1608359.2489999905</v>
      </c>
      <c r="N65" s="26">
        <f t="shared" si="16"/>
        <v>1697359.2489999905</v>
      </c>
      <c r="O65" s="26">
        <f t="shared" si="16"/>
        <v>1697609.2489999905</v>
      </c>
      <c r="P65" s="26">
        <f t="shared" si="16"/>
        <v>1697359.2489999905</v>
      </c>
      <c r="Q65" s="26">
        <f t="shared" si="16"/>
        <v>1809109.2489999905</v>
      </c>
      <c r="R65" s="26">
        <f t="shared" si="16"/>
        <v>1920609.2489999905</v>
      </c>
      <c r="S65" s="26"/>
      <c r="T65" s="26"/>
      <c r="U65" s="26"/>
      <c r="V65" s="26"/>
      <c r="W65" s="26"/>
      <c r="X65" s="26"/>
      <c r="Y65" s="26"/>
      <c r="Z65" s="26"/>
      <c r="AA65" s="26"/>
      <c r="AB65" s="2">
        <f>SUM(C65:R65)</f>
        <v>11770459.742999934</v>
      </c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1:225" s="2" customFormat="1" ht="15.75" hidden="1">
      <c r="A66" s="1"/>
      <c r="B66" s="20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1:225" s="2" customFormat="1" ht="15.75" hidden="1">
      <c r="A67" s="43" t="s">
        <v>44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  <c r="T67" s="53"/>
      <c r="U67" s="53"/>
      <c r="V67" s="53"/>
      <c r="W67" s="53"/>
      <c r="X67" s="53"/>
      <c r="Y67" s="53"/>
      <c r="Z67" s="53"/>
      <c r="AA67" s="53"/>
      <c r="AB67" s="2">
        <f>SUM(C67:R67)</f>
        <v>0</v>
      </c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</row>
    <row r="68" spans="1:225" s="2" customFormat="1" ht="15.75" hidden="1">
      <c r="A68" s="1"/>
      <c r="B68" s="2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</row>
    <row r="69" spans="1:225" s="2" customFormat="1" ht="16.5" hidden="1" thickBot="1">
      <c r="A69" s="45" t="s">
        <v>45</v>
      </c>
      <c r="B69" s="20"/>
      <c r="C69" s="54">
        <f t="shared" ref="C69:R69" si="17">C41+C49+C54-C67</f>
        <v>-5830555</v>
      </c>
      <c r="D69" s="54"/>
      <c r="E69" s="54"/>
      <c r="F69" s="54"/>
      <c r="G69" s="54"/>
      <c r="H69" s="54"/>
      <c r="I69" s="54"/>
      <c r="J69" s="54"/>
      <c r="K69" s="54"/>
      <c r="L69" s="54">
        <f t="shared" si="17"/>
        <v>1920609.2489999905</v>
      </c>
      <c r="M69" s="54">
        <f t="shared" si="17"/>
        <v>1920609.2489999905</v>
      </c>
      <c r="N69" s="54">
        <f t="shared" si="17"/>
        <v>1920609.2489999905</v>
      </c>
      <c r="O69" s="54">
        <f t="shared" si="17"/>
        <v>1920609.2489999905</v>
      </c>
      <c r="P69" s="54">
        <f t="shared" si="17"/>
        <v>1920609.2489999905</v>
      </c>
      <c r="Q69" s="54">
        <f t="shared" si="17"/>
        <v>1920609.2489999905</v>
      </c>
      <c r="R69" s="54">
        <f t="shared" si="17"/>
        <v>1920609.2489999905</v>
      </c>
      <c r="S69" s="53"/>
      <c r="T69" s="53"/>
      <c r="U69" s="53"/>
      <c r="V69" s="53"/>
      <c r="W69" s="53"/>
      <c r="X69" s="53"/>
      <c r="Y69" s="53"/>
      <c r="Z69" s="53"/>
      <c r="AA69" s="53"/>
      <c r="AB69" s="2">
        <f>SUM(C69:R69)</f>
        <v>7613709.7429999337</v>
      </c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</row>
    <row r="70" spans="1:225" s="2" customFormat="1" ht="15.75" hidden="1">
      <c r="A70" s="1"/>
      <c r="B70" s="20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</row>
    <row r="71" spans="1:225" s="2" customFormat="1" ht="15.75" hidden="1">
      <c r="A71" s="5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>
        <f>K71+L69</f>
        <v>1920609.2489999905</v>
      </c>
      <c r="M71" s="31">
        <f t="shared" ref="M71:R71" si="18">L71+M69</f>
        <v>3841218.497999981</v>
      </c>
      <c r="N71" s="31">
        <f t="shared" si="18"/>
        <v>5761827.7469999716</v>
      </c>
      <c r="O71" s="31">
        <f t="shared" si="18"/>
        <v>7682436.9959999621</v>
      </c>
      <c r="P71" s="31">
        <f t="shared" si="18"/>
        <v>9603046.2449999526</v>
      </c>
      <c r="Q71" s="31">
        <f t="shared" si="18"/>
        <v>11523655.493999943</v>
      </c>
      <c r="R71" s="31">
        <f t="shared" si="18"/>
        <v>13444264.742999934</v>
      </c>
      <c r="S71" s="31"/>
      <c r="T71" s="31"/>
      <c r="U71" s="31"/>
      <c r="V71" s="31"/>
      <c r="W71" s="31"/>
      <c r="X71" s="31"/>
      <c r="Y71" s="31"/>
      <c r="Z71" s="31"/>
      <c r="AA71" s="3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1:225" s="2" customFormat="1" ht="15.75" hidden="1">
      <c r="A72" s="5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1:225" s="2" customFormat="1" ht="15.75" hidden="1">
      <c r="A73" s="55"/>
      <c r="B73" s="31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1:225" s="2" customFormat="1" ht="15.75" hidden="1">
      <c r="A74" s="55"/>
      <c r="B74" s="31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1:225" s="2" customFormat="1" ht="15.75" hidden="1">
      <c r="A75" s="55"/>
      <c r="B75" s="31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1:225" s="2" customFormat="1" ht="15.75" hidden="1">
      <c r="A76" s="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1:225" s="2" customFormat="1" ht="15.75" hidden="1">
      <c r="A77" s="61" t="s">
        <v>46</v>
      </c>
      <c r="B77" s="20">
        <f>NPV(0.1,C$69:H$69)</f>
        <v>-5300504.5454545449</v>
      </c>
      <c r="C77" s="62"/>
      <c r="D77" s="63"/>
      <c r="E77" s="63"/>
      <c r="F77" s="63"/>
      <c r="G77" s="64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1:225" s="2" customFormat="1" ht="15.75" hidden="1">
      <c r="A78" s="61" t="s">
        <v>47</v>
      </c>
      <c r="B78" s="20">
        <f>NPV(0.1,C$69:M$69)</f>
        <v>-2270242.0188580165</v>
      </c>
      <c r="C78" s="65"/>
      <c r="D78" s="66"/>
      <c r="F78" s="20"/>
      <c r="G78" s="6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1:225" s="2" customFormat="1" ht="15.75" hidden="1">
      <c r="A79" s="61" t="s">
        <v>48</v>
      </c>
      <c r="B79" s="20">
        <f>NPV(0.1,C$69:R$69)</f>
        <v>3199795.6447878559</v>
      </c>
      <c r="C79" s="65"/>
      <c r="D79" s="20"/>
      <c r="E79" s="20"/>
      <c r="F79" s="20"/>
      <c r="G79" s="67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1:225" s="2" customFormat="1" ht="15.75" hidden="1">
      <c r="A80" s="1"/>
      <c r="C80" s="65"/>
      <c r="D80" s="68"/>
      <c r="E80" s="20"/>
      <c r="F80" s="69"/>
      <c r="G80" s="67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1:225" s="2" customFormat="1" ht="15.75" hidden="1">
      <c r="A81" s="1"/>
      <c r="C81" s="65"/>
      <c r="D81" s="20"/>
      <c r="E81" s="20"/>
      <c r="F81" s="20"/>
      <c r="G81" s="67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1:225" s="2" customFormat="1" ht="15.75" hidden="1">
      <c r="A82" s="1"/>
      <c r="C82" s="65"/>
      <c r="D82" s="68"/>
      <c r="E82" s="20"/>
      <c r="F82" s="70"/>
      <c r="G82" s="71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1:225" s="2" customFormat="1" ht="16.5" hidden="1" thickBot="1">
      <c r="A83" s="1"/>
      <c r="C83" s="72"/>
      <c r="D83" s="73"/>
      <c r="E83" s="73"/>
      <c r="F83" s="73"/>
      <c r="G83" s="74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1:225" s="2" customFormat="1" ht="15.75" hidden="1">
      <c r="A84" s="1"/>
      <c r="C84" s="20"/>
      <c r="D84" s="20"/>
      <c r="E84" s="20"/>
      <c r="F84" s="20"/>
      <c r="G84" s="20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1:225" s="2" customFormat="1" ht="15.75" hidden="1">
      <c r="A85" s="1"/>
      <c r="C85" s="20"/>
      <c r="D85" s="20"/>
      <c r="E85" s="20"/>
      <c r="F85" s="20"/>
      <c r="G85" s="20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1:225" s="2" customFormat="1" ht="15.75" hidden="1">
      <c r="A86" s="75" t="s">
        <v>49</v>
      </c>
      <c r="C86" s="76" t="s">
        <v>50</v>
      </c>
      <c r="D86" s="76"/>
      <c r="E86" s="76"/>
      <c r="F86" s="76"/>
      <c r="G86" s="76"/>
      <c r="H86" s="76"/>
      <c r="I86" s="76"/>
      <c r="J86" s="76"/>
      <c r="K86" s="76"/>
      <c r="L86" s="76" t="s">
        <v>51</v>
      </c>
      <c r="M86" s="76" t="s">
        <v>52</v>
      </c>
      <c r="N86" s="76" t="s">
        <v>53</v>
      </c>
      <c r="O86" s="76" t="s">
        <v>54</v>
      </c>
      <c r="P86" s="76" t="s">
        <v>55</v>
      </c>
      <c r="Q86" s="76" t="s">
        <v>56</v>
      </c>
      <c r="R86" s="76" t="s">
        <v>57</v>
      </c>
      <c r="S86" s="76"/>
      <c r="T86" s="76"/>
      <c r="U86" s="76"/>
      <c r="V86" s="76"/>
      <c r="W86" s="76"/>
      <c r="X86" s="76"/>
      <c r="Y86" s="76"/>
      <c r="Z86" s="76"/>
      <c r="AA86" s="7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1:225" s="2" customFormat="1" ht="15.75" hidden="1">
      <c r="A87" s="77" t="s">
        <v>58</v>
      </c>
      <c r="C87" s="66" t="s">
        <v>59</v>
      </c>
      <c r="D87" s="66"/>
      <c r="E87" s="66"/>
      <c r="F87" s="66"/>
      <c r="G87" s="66"/>
      <c r="H87" s="66"/>
      <c r="I87" s="66"/>
      <c r="J87" s="66"/>
      <c r="K87" s="66"/>
      <c r="L87" s="66" t="s">
        <v>60</v>
      </c>
      <c r="M87" s="66" t="s">
        <v>60</v>
      </c>
      <c r="N87" s="66" t="s">
        <v>60</v>
      </c>
      <c r="O87" s="66" t="s">
        <v>60</v>
      </c>
      <c r="P87" s="66" t="s">
        <v>60</v>
      </c>
      <c r="Q87" s="66" t="s">
        <v>60</v>
      </c>
      <c r="R87" s="66" t="s">
        <v>60</v>
      </c>
      <c r="S87" s="66"/>
      <c r="T87" s="66"/>
      <c r="U87" s="66"/>
      <c r="V87" s="66"/>
      <c r="W87" s="66"/>
      <c r="X87" s="66"/>
      <c r="Y87" s="66"/>
      <c r="Z87" s="66"/>
      <c r="AA87" s="66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1:225" s="2" customFormat="1" ht="15.75" hidden="1">
      <c r="A88" s="75" t="s">
        <v>61</v>
      </c>
      <c r="C88" s="20"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">
        <f t="shared" ref="AB88:AB98" si="19">SUM(C88:R88)</f>
        <v>0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1:225" s="2" customFormat="1" ht="15.75" hidden="1">
      <c r="A89" s="75"/>
      <c r="C89" s="20"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AB89" s="2">
        <f t="shared" si="19"/>
        <v>0</v>
      </c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1:225" s="2" customFormat="1" ht="15.75" hidden="1">
      <c r="A90" s="75"/>
      <c r="C90" s="20">
        <v>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AB90" s="2">
        <f t="shared" si="19"/>
        <v>0</v>
      </c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1:225" s="2" customFormat="1" ht="15.75" hidden="1">
      <c r="A91" s="75"/>
      <c r="C91" s="20">
        <f>-$C$47*0.1429</f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AB91" s="2">
        <f t="shared" si="19"/>
        <v>0</v>
      </c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1:225" s="2" customFormat="1" ht="15.75" hidden="1">
      <c r="A92" s="75"/>
      <c r="C92" s="20"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AB92" s="2">
        <f t="shared" si="19"/>
        <v>0</v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</row>
    <row r="93" spans="1:225" s="2" customFormat="1" ht="15.75" hidden="1">
      <c r="A93" s="75"/>
      <c r="C93" s="20">
        <v>0</v>
      </c>
      <c r="D93" s="20"/>
      <c r="E93" s="20"/>
      <c r="F93" s="20"/>
      <c r="G93" s="20"/>
      <c r="H93" s="20"/>
      <c r="I93" s="20"/>
      <c r="J93" s="20"/>
      <c r="K93" s="20"/>
      <c r="L93" s="20">
        <f>-$E$47*0.0446</f>
        <v>0</v>
      </c>
      <c r="M93" s="20"/>
      <c r="N93" s="20"/>
      <c r="O93" s="20"/>
      <c r="AB93" s="2">
        <f t="shared" si="19"/>
        <v>0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</row>
    <row r="94" spans="1:225" s="2" customFormat="1" ht="15.75" hidden="1">
      <c r="A94" s="75"/>
      <c r="C94" s="20">
        <v>0</v>
      </c>
      <c r="D94" s="20"/>
      <c r="E94" s="20"/>
      <c r="F94" s="20"/>
      <c r="G94" s="20"/>
      <c r="H94" s="20"/>
      <c r="I94" s="20"/>
      <c r="J94" s="20"/>
      <c r="K94" s="20"/>
      <c r="L94" s="20">
        <f>-$F$47*0.0893</f>
        <v>0</v>
      </c>
      <c r="M94" s="20">
        <f>-$F$47*0.0446</f>
        <v>0</v>
      </c>
      <c r="N94" s="20"/>
      <c r="O94" s="20"/>
      <c r="P94" s="20"/>
      <c r="AB94" s="2">
        <f t="shared" si="19"/>
        <v>0</v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</row>
    <row r="95" spans="1:225" s="2" customFormat="1" ht="15.75" hidden="1">
      <c r="A95" s="75"/>
      <c r="C95" s="20">
        <v>0</v>
      </c>
      <c r="D95" s="20"/>
      <c r="E95" s="20"/>
      <c r="F95" s="20"/>
      <c r="G95" s="20"/>
      <c r="H95" s="20"/>
      <c r="I95" s="20"/>
      <c r="J95" s="20"/>
      <c r="K95" s="20"/>
      <c r="L95" s="20">
        <f>-$G$47*0.0892</f>
        <v>0</v>
      </c>
      <c r="M95" s="20">
        <f>-$G$47*0.0893</f>
        <v>0</v>
      </c>
      <c r="N95" s="20">
        <f>-$G$47*0.0446</f>
        <v>0</v>
      </c>
      <c r="O95" s="20"/>
      <c r="P95" s="20"/>
      <c r="Q95" s="20">
        <f>-J$47*0.0446</f>
        <v>0</v>
      </c>
      <c r="AB95" s="2">
        <f t="shared" si="19"/>
        <v>0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1:225" s="2" customFormat="1" ht="15.75" hidden="1">
      <c r="A96" s="75"/>
      <c r="C96" s="20">
        <v>0</v>
      </c>
      <c r="D96" s="20"/>
      <c r="E96" s="20"/>
      <c r="F96" s="20"/>
      <c r="G96" s="20"/>
      <c r="H96" s="20"/>
      <c r="I96" s="20"/>
      <c r="J96" s="20"/>
      <c r="K96" s="20"/>
      <c r="L96" s="20">
        <f>-L$47*0.1429</f>
        <v>0</v>
      </c>
      <c r="M96" s="20">
        <f>-I$46*0.1249</f>
        <v>312250</v>
      </c>
      <c r="N96" s="20">
        <f>-I$46*0.0893</f>
        <v>223250</v>
      </c>
      <c r="O96" s="20">
        <f>-I$46*0.0892</f>
        <v>223000</v>
      </c>
      <c r="P96" s="20">
        <f>-I$46*0.0893</f>
        <v>223250</v>
      </c>
      <c r="Q96" s="20">
        <f>-I$46*0.0446</f>
        <v>111500</v>
      </c>
      <c r="R96" s="20">
        <f>-K$47*0.0446</f>
        <v>0</v>
      </c>
      <c r="S96" s="20"/>
      <c r="T96" s="20"/>
      <c r="U96" s="20"/>
      <c r="V96" s="20"/>
      <c r="W96" s="20"/>
      <c r="X96" s="20"/>
      <c r="Y96" s="20"/>
      <c r="Z96" s="20"/>
      <c r="AA96" s="20"/>
      <c r="AB96" s="2">
        <f t="shared" si="19"/>
        <v>1093250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1:225" s="2" customFormat="1" ht="15.75" hidden="1">
      <c r="A97" s="75"/>
      <c r="C97" s="20">
        <v>0</v>
      </c>
      <c r="D97" s="20"/>
      <c r="E97" s="20"/>
      <c r="F97" s="20"/>
      <c r="G97" s="20"/>
      <c r="H97" s="20"/>
      <c r="I97" s="20"/>
      <c r="J97" s="20"/>
      <c r="K97" s="20"/>
      <c r="L97" s="20">
        <v>0</v>
      </c>
      <c r="M97" s="20">
        <f>-L$47*0.2449</f>
        <v>0</v>
      </c>
      <c r="N97" s="20">
        <f>-L$47*0.1749</f>
        <v>0</v>
      </c>
      <c r="O97" s="20">
        <f>-L$47*0.1249</f>
        <v>0</v>
      </c>
      <c r="P97" s="20">
        <f>-L$47*0.0893</f>
        <v>0</v>
      </c>
      <c r="Q97" s="20">
        <f>-L$47*0.0892</f>
        <v>0</v>
      </c>
      <c r="R97" s="20">
        <f>-L$47*0.0893</f>
        <v>0</v>
      </c>
      <c r="S97" s="20"/>
      <c r="T97" s="20"/>
      <c r="U97" s="20"/>
      <c r="V97" s="20"/>
      <c r="W97" s="20"/>
      <c r="X97" s="20"/>
      <c r="Y97" s="20"/>
      <c r="Z97" s="20"/>
      <c r="AA97" s="20"/>
      <c r="AB97" s="2">
        <f t="shared" si="19"/>
        <v>0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1:225" s="2" customFormat="1" ht="15.75" hidden="1">
      <c r="A98" s="75"/>
      <c r="C98" s="20">
        <v>0</v>
      </c>
      <c r="D98" s="20"/>
      <c r="E98" s="20"/>
      <c r="F98" s="20"/>
      <c r="G98" s="20"/>
      <c r="H98" s="20"/>
      <c r="I98" s="20"/>
      <c r="J98" s="20"/>
      <c r="K98" s="20"/>
      <c r="L98" s="20">
        <v>0</v>
      </c>
      <c r="M98" s="20">
        <f>-M$47*0.1429</f>
        <v>0</v>
      </c>
      <c r="N98" s="20">
        <f>-M$47*0.2449</f>
        <v>0</v>
      </c>
      <c r="O98" s="20">
        <f>-M$47*0.1749</f>
        <v>0</v>
      </c>
      <c r="P98" s="20">
        <f>-M$47*0.1249</f>
        <v>0</v>
      </c>
      <c r="Q98" s="20">
        <f>-M$47*0.0893</f>
        <v>0</v>
      </c>
      <c r="R98" s="20">
        <f>-M$47*0.0892</f>
        <v>0</v>
      </c>
      <c r="S98" s="20"/>
      <c r="T98" s="20"/>
      <c r="U98" s="20"/>
      <c r="V98" s="20"/>
      <c r="W98" s="20"/>
      <c r="X98" s="20"/>
      <c r="Y98" s="20"/>
      <c r="Z98" s="20"/>
      <c r="AA98" s="20"/>
      <c r="AB98" s="2">
        <f t="shared" si="19"/>
        <v>0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</row>
    <row r="99" spans="1:225" s="2" customFormat="1" ht="15.75" hidden="1">
      <c r="A99" s="75"/>
      <c r="C99" s="20">
        <v>0</v>
      </c>
      <c r="D99" s="20"/>
      <c r="E99" s="20"/>
      <c r="F99" s="20"/>
      <c r="G99" s="20"/>
      <c r="H99" s="20"/>
      <c r="I99" s="20"/>
      <c r="J99" s="20"/>
      <c r="K99" s="20"/>
      <c r="L99" s="20">
        <v>0</v>
      </c>
      <c r="M99" s="20">
        <v>0</v>
      </c>
      <c r="N99" s="20">
        <f>-N$47*0.1429</f>
        <v>0</v>
      </c>
      <c r="O99" s="20">
        <f>-N$47*0.2449</f>
        <v>0</v>
      </c>
      <c r="P99" s="20">
        <f>-N$47*0.1749</f>
        <v>0</v>
      </c>
      <c r="Q99" s="20">
        <f>-N$47*0.1249</f>
        <v>0</v>
      </c>
      <c r="R99" s="20">
        <f>-N$47*0.0893</f>
        <v>0</v>
      </c>
      <c r="S99" s="20"/>
      <c r="T99" s="20"/>
      <c r="U99" s="20"/>
      <c r="V99" s="20"/>
      <c r="W99" s="20"/>
      <c r="X99" s="20"/>
      <c r="Y99" s="20"/>
      <c r="Z99" s="20"/>
      <c r="AA99" s="20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</row>
    <row r="100" spans="1:225" s="2" customFormat="1" ht="15.75" hidden="1">
      <c r="A100" s="75"/>
      <c r="C100" s="20">
        <v>0</v>
      </c>
      <c r="D100" s="20"/>
      <c r="E100" s="20"/>
      <c r="F100" s="20"/>
      <c r="G100" s="20"/>
      <c r="H100" s="20"/>
      <c r="I100" s="20"/>
      <c r="J100" s="20"/>
      <c r="K100" s="20"/>
      <c r="L100" s="20">
        <v>0</v>
      </c>
      <c r="M100" s="20">
        <v>0</v>
      </c>
      <c r="N100" s="20">
        <v>0</v>
      </c>
      <c r="O100" s="20">
        <f>-O$47*0.1429</f>
        <v>0</v>
      </c>
      <c r="P100" s="20">
        <f>-O$47*0.2449</f>
        <v>0</v>
      </c>
      <c r="Q100" s="20">
        <f>-O$47*0.1749</f>
        <v>0</v>
      </c>
      <c r="R100" s="20">
        <f>-O$47*0.1249</f>
        <v>0</v>
      </c>
      <c r="S100" s="20"/>
      <c r="T100" s="20"/>
      <c r="U100" s="20"/>
      <c r="V100" s="20"/>
      <c r="W100" s="20"/>
      <c r="X100" s="20"/>
      <c r="Y100" s="20"/>
      <c r="Z100" s="20"/>
      <c r="AA100" s="2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</row>
    <row r="101" spans="1:225" s="2" customFormat="1" ht="15.75" hidden="1">
      <c r="A101" s="75"/>
      <c r="C101" s="20">
        <v>0</v>
      </c>
      <c r="D101" s="20"/>
      <c r="E101" s="20"/>
      <c r="F101" s="20"/>
      <c r="G101" s="20"/>
      <c r="H101" s="20"/>
      <c r="I101" s="20"/>
      <c r="J101" s="20"/>
      <c r="K101" s="20"/>
      <c r="L101" s="20">
        <v>0</v>
      </c>
      <c r="M101" s="20">
        <v>0</v>
      </c>
      <c r="N101" s="20">
        <v>0</v>
      </c>
      <c r="O101" s="20">
        <v>0</v>
      </c>
      <c r="P101" s="20">
        <f>-P$47*0.1429</f>
        <v>0</v>
      </c>
      <c r="Q101" s="20">
        <f>-P$47*0.2449</f>
        <v>0</v>
      </c>
      <c r="R101" s="20">
        <f>-P$47*0.1749</f>
        <v>0</v>
      </c>
      <c r="S101" s="20"/>
      <c r="T101" s="20"/>
      <c r="U101" s="20"/>
      <c r="V101" s="20"/>
      <c r="W101" s="20"/>
      <c r="X101" s="20"/>
      <c r="Y101" s="20"/>
      <c r="Z101" s="20"/>
      <c r="AA101" s="20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</row>
    <row r="102" spans="1:225" s="2" customFormat="1" ht="15.75" hidden="1">
      <c r="A102" s="75"/>
      <c r="C102" s="20">
        <v>0</v>
      </c>
      <c r="D102" s="20"/>
      <c r="E102" s="20"/>
      <c r="F102" s="20"/>
      <c r="G102" s="20"/>
      <c r="H102" s="20"/>
      <c r="I102" s="20"/>
      <c r="J102" s="20"/>
      <c r="K102" s="20"/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f>-Q$47*0.1429</f>
        <v>0</v>
      </c>
      <c r="R102" s="20">
        <f>-Q$47*0.2449</f>
        <v>0</v>
      </c>
      <c r="S102" s="20"/>
      <c r="T102" s="20"/>
      <c r="U102" s="20"/>
      <c r="V102" s="20"/>
      <c r="W102" s="20"/>
      <c r="X102" s="20"/>
      <c r="Y102" s="20"/>
      <c r="Z102" s="20"/>
      <c r="AA102" s="20"/>
      <c r="AB102" s="20">
        <f>-Q$47*0.0446</f>
        <v>0</v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</row>
    <row r="103" spans="1:225" s="2" customFormat="1" ht="15.75" hidden="1">
      <c r="A103" s="75"/>
      <c r="C103" s="20">
        <v>0</v>
      </c>
      <c r="D103" s="20"/>
      <c r="E103" s="20"/>
      <c r="F103" s="20"/>
      <c r="G103" s="20"/>
      <c r="H103" s="20"/>
      <c r="I103" s="20"/>
      <c r="J103" s="20"/>
      <c r="K103" s="20"/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f>-R$47*0.1429</f>
        <v>0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>
        <f>-R$47*0.0893</f>
        <v>0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</row>
    <row r="104" spans="1:225" s="2" customFormat="1" ht="15.75" hidden="1">
      <c r="A104" s="75"/>
      <c r="C104" s="20">
        <v>0</v>
      </c>
      <c r="D104" s="20"/>
      <c r="E104" s="20"/>
      <c r="F104" s="20"/>
      <c r="G104" s="20"/>
      <c r="H104" s="20"/>
      <c r="I104" s="20"/>
      <c r="J104" s="20"/>
      <c r="K104" s="20"/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/>
      <c r="T104" s="20"/>
      <c r="U104" s="20"/>
      <c r="V104" s="20"/>
      <c r="W104" s="20"/>
      <c r="X104" s="20"/>
      <c r="Y104" s="20"/>
      <c r="Z104" s="20"/>
      <c r="AA104" s="20"/>
      <c r="AB104" s="20" t="e">
        <f>-#REF!*0.0892</f>
        <v>#REF!</v>
      </c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</row>
    <row r="105" spans="1:225" s="2" customFormat="1" ht="15.75" hidden="1">
      <c r="A105" s="75"/>
      <c r="C105" s="20">
        <v>0</v>
      </c>
      <c r="D105" s="20"/>
      <c r="E105" s="20"/>
      <c r="F105" s="20"/>
      <c r="G105" s="20"/>
      <c r="H105" s="20"/>
      <c r="I105" s="20"/>
      <c r="J105" s="20"/>
      <c r="K105" s="20"/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 t="e">
        <f>-#REF!*0.0893</f>
        <v>#REF!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</row>
    <row r="106" spans="1:225" s="2" customFormat="1" ht="15.75" hidden="1">
      <c r="A106" s="75"/>
      <c r="C106" s="20">
        <v>0</v>
      </c>
      <c r="D106" s="20"/>
      <c r="E106" s="20"/>
      <c r="F106" s="20"/>
      <c r="G106" s="20"/>
      <c r="H106" s="20"/>
      <c r="I106" s="20"/>
      <c r="J106" s="20"/>
      <c r="K106" s="20"/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 t="e">
        <f>-#REF!*0.1249</f>
        <v>#REF!</v>
      </c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</row>
    <row r="107" spans="1:225" s="2" customFormat="1" ht="15.75" hidden="1">
      <c r="A107" s="75"/>
      <c r="C107" s="20">
        <v>0</v>
      </c>
      <c r="D107" s="20"/>
      <c r="E107" s="20"/>
      <c r="F107" s="20"/>
      <c r="G107" s="20"/>
      <c r="H107" s="20"/>
      <c r="I107" s="20"/>
      <c r="J107" s="20"/>
      <c r="K107" s="20"/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 t="e">
        <f>-#REF!*0.1749</f>
        <v>#REF!</v>
      </c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</row>
    <row r="108" spans="1:225" s="2" customFormat="1" ht="15.75" hidden="1">
      <c r="A108" s="75"/>
      <c r="C108" s="20">
        <v>0</v>
      </c>
      <c r="D108" s="20"/>
      <c r="E108" s="20"/>
      <c r="F108" s="20"/>
      <c r="G108" s="20"/>
      <c r="H108" s="20"/>
      <c r="I108" s="20"/>
      <c r="J108" s="20"/>
      <c r="K108" s="20"/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 t="e">
        <f>-#REF!*0.2449</f>
        <v>#REF!</v>
      </c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</row>
    <row r="109" spans="1:225" s="2" customFormat="1" ht="15.75" hidden="1">
      <c r="A109" s="75"/>
      <c r="C109" s="20">
        <f t="shared" ref="C109:AB109" si="20">SUM(C88:C108)</f>
        <v>0</v>
      </c>
      <c r="D109" s="20"/>
      <c r="E109" s="20"/>
      <c r="F109" s="20"/>
      <c r="G109" s="20"/>
      <c r="H109" s="20"/>
      <c r="I109" s="20"/>
      <c r="J109" s="20"/>
      <c r="K109" s="20"/>
      <c r="L109" s="20">
        <f t="shared" si="20"/>
        <v>0</v>
      </c>
      <c r="M109" s="20">
        <f t="shared" si="20"/>
        <v>312250</v>
      </c>
      <c r="N109" s="20">
        <f t="shared" si="20"/>
        <v>223250</v>
      </c>
      <c r="O109" s="20">
        <f t="shared" si="20"/>
        <v>223000</v>
      </c>
      <c r="P109" s="20">
        <f t="shared" si="20"/>
        <v>223250</v>
      </c>
      <c r="Q109" s="20">
        <f t="shared" si="20"/>
        <v>111500</v>
      </c>
      <c r="R109" s="20">
        <f t="shared" si="20"/>
        <v>0</v>
      </c>
      <c r="S109" s="20"/>
      <c r="T109" s="20"/>
      <c r="U109" s="20"/>
      <c r="V109" s="20"/>
      <c r="W109" s="20"/>
      <c r="X109" s="20"/>
      <c r="Y109" s="20"/>
      <c r="Z109" s="20"/>
      <c r="AA109" s="20"/>
      <c r="AB109" s="20" t="e">
        <f t="shared" si="20"/>
        <v>#REF!</v>
      </c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</row>
    <row r="110" spans="1:225" s="2" customFormat="1" ht="15.75" hidden="1">
      <c r="A110" s="75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</row>
    <row r="111" spans="1:225" s="2" customFormat="1" ht="15.75" hidden="1">
      <c r="A111" s="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</row>
    <row r="112" spans="1:225" s="2" customFormat="1" ht="15.75" hidden="1">
      <c r="A112" s="1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</row>
    <row r="113" spans="1:225" s="2" customFormat="1" ht="15.75" hidden="1">
      <c r="A113" s="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</row>
    <row r="114" spans="1:225" s="2" customFormat="1" ht="15.75" hidden="1">
      <c r="A114" s="75" t="s">
        <v>62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</row>
    <row r="115" spans="1:225" s="2" customFormat="1" ht="15.75" hidden="1">
      <c r="A115" s="77" t="s">
        <v>58</v>
      </c>
      <c r="B115" s="66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</row>
    <row r="116" spans="1:225" s="2" customFormat="1" ht="15.75" hidden="1">
      <c r="A116" s="45" t="s">
        <v>63</v>
      </c>
      <c r="B116" s="20">
        <v>0</v>
      </c>
      <c r="C116" s="20">
        <v>0</v>
      </c>
      <c r="D116" s="20"/>
      <c r="E116" s="20"/>
      <c r="F116" s="20"/>
      <c r="G116" s="20"/>
      <c r="H116" s="20"/>
      <c r="I116" s="20"/>
      <c r="J116" s="20"/>
      <c r="K116" s="20"/>
      <c r="L116" s="20">
        <f>(K116+1)</f>
        <v>1</v>
      </c>
      <c r="M116" s="20">
        <f t="shared" ref="M116:O116" si="21">(L116+1)</f>
        <v>2</v>
      </c>
      <c r="N116" s="20">
        <f t="shared" si="21"/>
        <v>3</v>
      </c>
      <c r="O116" s="20">
        <f t="shared" si="21"/>
        <v>4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</row>
    <row r="117" spans="1:225" s="2" customFormat="1" ht="15.75" hidden="1">
      <c r="A117" s="45" t="s">
        <v>64</v>
      </c>
      <c r="B117" s="20">
        <f>B69</f>
        <v>0</v>
      </c>
      <c r="C117" s="20">
        <f>C69*(1/(1+0.02)^C116)</f>
        <v>-5830555</v>
      </c>
      <c r="D117" s="20"/>
      <c r="E117" s="20"/>
      <c r="F117" s="20"/>
      <c r="G117" s="20"/>
      <c r="H117" s="20"/>
      <c r="I117" s="20"/>
      <c r="J117" s="20"/>
      <c r="K117" s="20"/>
      <c r="L117" s="20">
        <f t="shared" ref="L117:O117" si="22">L69*(1/(1+0.02)^L116)</f>
        <v>1882950.2441176376</v>
      </c>
      <c r="M117" s="20">
        <f t="shared" si="22"/>
        <v>1846029.6510957235</v>
      </c>
      <c r="N117" s="20">
        <f t="shared" si="22"/>
        <v>1809832.9912703172</v>
      </c>
      <c r="O117" s="20">
        <f t="shared" si="22"/>
        <v>1774346.0698728596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  <row r="118" spans="1:225" s="2" customFormat="1" ht="15.75" hidden="1">
      <c r="A118" s="45" t="s">
        <v>65</v>
      </c>
      <c r="B118" s="20">
        <f>B117</f>
        <v>0</v>
      </c>
      <c r="C118" s="20">
        <f t="shared" ref="C118:O118" si="23">C117+B118</f>
        <v>-5830555</v>
      </c>
      <c r="D118" s="20"/>
      <c r="E118" s="20"/>
      <c r="F118" s="20"/>
      <c r="G118" s="20"/>
      <c r="H118" s="20"/>
      <c r="I118" s="20"/>
      <c r="J118" s="20"/>
      <c r="K118" s="20"/>
      <c r="L118" s="20">
        <f>L117+K118</f>
        <v>1882950.2441176376</v>
      </c>
      <c r="M118" s="20">
        <f t="shared" si="23"/>
        <v>3728979.8952133609</v>
      </c>
      <c r="N118" s="20">
        <f t="shared" si="23"/>
        <v>5538812.8864836786</v>
      </c>
      <c r="O118" s="20">
        <f t="shared" si="23"/>
        <v>7313158.9563565385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</row>
    <row r="119" spans="1:225" s="2" customFormat="1" ht="15.75" hidden="1">
      <c r="A119" s="45" t="s">
        <v>66</v>
      </c>
      <c r="C119" s="78">
        <f t="shared" ref="C119:O119" si="24">B116+(B118*-1/(C118-B118))</f>
        <v>0</v>
      </c>
      <c r="D119" s="78"/>
      <c r="E119" s="78"/>
      <c r="F119" s="78"/>
      <c r="G119" s="78"/>
      <c r="H119" s="78"/>
      <c r="I119" s="78"/>
      <c r="J119" s="78"/>
      <c r="K119" s="78"/>
      <c r="L119" s="78">
        <f>K116+(K118*-1/(L118-K118))</f>
        <v>0</v>
      </c>
      <c r="M119" s="78">
        <f t="shared" si="24"/>
        <v>-2.0000000000000018E-2</v>
      </c>
      <c r="N119" s="78">
        <f t="shared" si="24"/>
        <v>-6.0399999999999121E-2</v>
      </c>
      <c r="O119" s="78">
        <f t="shared" si="24"/>
        <v>-0.12160800000000016</v>
      </c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</row>
    <row r="120" spans="1:225" s="2" customFormat="1" ht="15.75" hidden="1">
      <c r="A120" s="45" t="s">
        <v>67</v>
      </c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</row>
    <row r="121" spans="1:225" s="2" customFormat="1" ht="15.75" hidden="1">
      <c r="A121" s="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</row>
    <row r="122" spans="1:225" s="2" customFormat="1" ht="15.75" hidden="1">
      <c r="A122" s="1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</row>
    <row r="123" spans="1:225" s="2" customFormat="1" ht="15.75" hidden="1">
      <c r="A123" s="1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</row>
    <row r="124" spans="1:225" s="2" customFormat="1" ht="15.75" hidden="1">
      <c r="A124" s="1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</row>
    <row r="125" spans="1:225" s="2" customFormat="1" ht="15.75" hidden="1">
      <c r="A125" s="1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</row>
    <row r="126" spans="1:225" s="2" customFormat="1" ht="15.75" hidden="1">
      <c r="A126" s="1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</row>
    <row r="127" spans="1:225" s="2" customFormat="1" ht="15.75" hidden="1">
      <c r="A127" s="79" t="s">
        <v>68</v>
      </c>
      <c r="B127" s="80">
        <v>0.4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</row>
    <row r="128" spans="1:225" s="2" customFormat="1" ht="15.75" hidden="1">
      <c r="A128" s="1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</row>
    <row r="129" spans="1:225" s="2" customFormat="1" ht="15.75">
      <c r="A129" s="1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</row>
    <row r="130" spans="1:225">
      <c r="A130" s="14"/>
      <c r="D130" s="81"/>
      <c r="E130" s="81"/>
      <c r="F130" s="81"/>
      <c r="J130" s="82"/>
    </row>
    <row r="131" spans="1:225">
      <c r="A131" s="14"/>
      <c r="D131" s="81"/>
      <c r="E131" s="81"/>
      <c r="F131" s="81"/>
      <c r="H131" s="84"/>
    </row>
    <row r="132" spans="1:225">
      <c r="A132" s="14"/>
      <c r="H132" s="84"/>
      <c r="J132" s="82"/>
    </row>
    <row r="133" spans="1:225">
      <c r="A133" s="85"/>
      <c r="F133" s="81"/>
      <c r="H133" s="82"/>
    </row>
    <row r="134" spans="1:225">
      <c r="A134" s="85"/>
    </row>
    <row r="135" spans="1:225">
      <c r="A135" s="85"/>
    </row>
    <row r="136" spans="1:225">
      <c r="A136" s="85"/>
    </row>
    <row r="137" spans="1:225">
      <c r="A137" s="85"/>
    </row>
    <row r="138" spans="1:225">
      <c r="A138" s="85"/>
    </row>
  </sheetData>
  <printOptions gridLinesSet="0"/>
  <pageMargins left="0.5" right="0.5" top="0.75" bottom="0.25" header="0.5" footer="0.5"/>
  <pageSetup scale="50" orientation="landscape" r:id="rId1"/>
  <headerFooter alignWithMargins="0"/>
  <colBreaks count="1" manualBreakCount="1">
    <brk id="11" max="1048575" man="1"/>
  </colBreaks>
  <ignoredErrors>
    <ignoredError sqref="D11:AD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Q135"/>
  <sheetViews>
    <sheetView showGridLines="0" zoomScale="80" zoomScaleNormal="80" workbookViewId="0">
      <pane xSplit="1" topLeftCell="B1" activePane="topRight" state="frozen"/>
      <selection activeCell="A4" sqref="A4"/>
      <selection pane="topRight"/>
    </sheetView>
  </sheetViews>
  <sheetFormatPr defaultColWidth="13.28515625" defaultRowHeight="15"/>
  <cols>
    <col min="1" max="1" width="66.140625" customWidth="1"/>
    <col min="2" max="2" width="12.85546875" customWidth="1"/>
    <col min="3" max="27" width="18" customWidth="1"/>
    <col min="28" max="28" width="18.140625" bestFit="1" customWidth="1"/>
    <col min="266" max="266" width="66.140625" customWidth="1"/>
    <col min="267" max="267" width="12.85546875" customWidth="1"/>
    <col min="268" max="283" width="14.42578125" customWidth="1"/>
    <col min="284" max="284" width="17.85546875" bestFit="1" customWidth="1"/>
    <col min="522" max="522" width="66.140625" customWidth="1"/>
    <col min="523" max="523" width="12.85546875" customWidth="1"/>
    <col min="524" max="539" width="14.42578125" customWidth="1"/>
    <col min="540" max="540" width="17.85546875" bestFit="1" customWidth="1"/>
    <col min="778" max="778" width="66.140625" customWidth="1"/>
    <col min="779" max="779" width="12.85546875" customWidth="1"/>
    <col min="780" max="795" width="14.42578125" customWidth="1"/>
    <col min="796" max="796" width="17.85546875" bestFit="1" customWidth="1"/>
    <col min="1034" max="1034" width="66.140625" customWidth="1"/>
    <col min="1035" max="1035" width="12.85546875" customWidth="1"/>
    <col min="1036" max="1051" width="14.42578125" customWidth="1"/>
    <col min="1052" max="1052" width="17.85546875" bestFit="1" customWidth="1"/>
    <col min="1290" max="1290" width="66.140625" customWidth="1"/>
    <col min="1291" max="1291" width="12.85546875" customWidth="1"/>
    <col min="1292" max="1307" width="14.42578125" customWidth="1"/>
    <col min="1308" max="1308" width="17.85546875" bestFit="1" customWidth="1"/>
    <col min="1546" max="1546" width="66.140625" customWidth="1"/>
    <col min="1547" max="1547" width="12.85546875" customWidth="1"/>
    <col min="1548" max="1563" width="14.42578125" customWidth="1"/>
    <col min="1564" max="1564" width="17.85546875" bestFit="1" customWidth="1"/>
    <col min="1802" max="1802" width="66.140625" customWidth="1"/>
    <col min="1803" max="1803" width="12.85546875" customWidth="1"/>
    <col min="1804" max="1819" width="14.42578125" customWidth="1"/>
    <col min="1820" max="1820" width="17.85546875" bestFit="1" customWidth="1"/>
    <col min="2058" max="2058" width="66.140625" customWidth="1"/>
    <col min="2059" max="2059" width="12.85546875" customWidth="1"/>
    <col min="2060" max="2075" width="14.42578125" customWidth="1"/>
    <col min="2076" max="2076" width="17.85546875" bestFit="1" customWidth="1"/>
    <col min="2314" max="2314" width="66.140625" customWidth="1"/>
    <col min="2315" max="2315" width="12.85546875" customWidth="1"/>
    <col min="2316" max="2331" width="14.42578125" customWidth="1"/>
    <col min="2332" max="2332" width="17.85546875" bestFit="1" customWidth="1"/>
    <col min="2570" max="2570" width="66.140625" customWidth="1"/>
    <col min="2571" max="2571" width="12.85546875" customWidth="1"/>
    <col min="2572" max="2587" width="14.42578125" customWidth="1"/>
    <col min="2588" max="2588" width="17.85546875" bestFit="1" customWidth="1"/>
    <col min="2826" max="2826" width="66.140625" customWidth="1"/>
    <col min="2827" max="2827" width="12.85546875" customWidth="1"/>
    <col min="2828" max="2843" width="14.42578125" customWidth="1"/>
    <col min="2844" max="2844" width="17.85546875" bestFit="1" customWidth="1"/>
    <col min="3082" max="3082" width="66.140625" customWidth="1"/>
    <col min="3083" max="3083" width="12.85546875" customWidth="1"/>
    <col min="3084" max="3099" width="14.42578125" customWidth="1"/>
    <col min="3100" max="3100" width="17.85546875" bestFit="1" customWidth="1"/>
    <col min="3338" max="3338" width="66.140625" customWidth="1"/>
    <col min="3339" max="3339" width="12.85546875" customWidth="1"/>
    <col min="3340" max="3355" width="14.42578125" customWidth="1"/>
    <col min="3356" max="3356" width="17.85546875" bestFit="1" customWidth="1"/>
    <col min="3594" max="3594" width="66.140625" customWidth="1"/>
    <col min="3595" max="3595" width="12.85546875" customWidth="1"/>
    <col min="3596" max="3611" width="14.42578125" customWidth="1"/>
    <col min="3612" max="3612" width="17.85546875" bestFit="1" customWidth="1"/>
    <col min="3850" max="3850" width="66.140625" customWidth="1"/>
    <col min="3851" max="3851" width="12.85546875" customWidth="1"/>
    <col min="3852" max="3867" width="14.42578125" customWidth="1"/>
    <col min="3868" max="3868" width="17.85546875" bestFit="1" customWidth="1"/>
    <col min="4106" max="4106" width="66.140625" customWidth="1"/>
    <col min="4107" max="4107" width="12.85546875" customWidth="1"/>
    <col min="4108" max="4123" width="14.42578125" customWidth="1"/>
    <col min="4124" max="4124" width="17.85546875" bestFit="1" customWidth="1"/>
    <col min="4362" max="4362" width="66.140625" customWidth="1"/>
    <col min="4363" max="4363" width="12.85546875" customWidth="1"/>
    <col min="4364" max="4379" width="14.42578125" customWidth="1"/>
    <col min="4380" max="4380" width="17.85546875" bestFit="1" customWidth="1"/>
    <col min="4618" max="4618" width="66.140625" customWidth="1"/>
    <col min="4619" max="4619" width="12.85546875" customWidth="1"/>
    <col min="4620" max="4635" width="14.42578125" customWidth="1"/>
    <col min="4636" max="4636" width="17.85546875" bestFit="1" customWidth="1"/>
    <col min="4874" max="4874" width="66.140625" customWidth="1"/>
    <col min="4875" max="4875" width="12.85546875" customWidth="1"/>
    <col min="4876" max="4891" width="14.42578125" customWidth="1"/>
    <col min="4892" max="4892" width="17.85546875" bestFit="1" customWidth="1"/>
    <col min="5130" max="5130" width="66.140625" customWidth="1"/>
    <col min="5131" max="5131" width="12.85546875" customWidth="1"/>
    <col min="5132" max="5147" width="14.42578125" customWidth="1"/>
    <col min="5148" max="5148" width="17.85546875" bestFit="1" customWidth="1"/>
    <col min="5386" max="5386" width="66.140625" customWidth="1"/>
    <col min="5387" max="5387" width="12.85546875" customWidth="1"/>
    <col min="5388" max="5403" width="14.42578125" customWidth="1"/>
    <col min="5404" max="5404" width="17.85546875" bestFit="1" customWidth="1"/>
    <col min="5642" max="5642" width="66.140625" customWidth="1"/>
    <col min="5643" max="5643" width="12.85546875" customWidth="1"/>
    <col min="5644" max="5659" width="14.42578125" customWidth="1"/>
    <col min="5660" max="5660" width="17.85546875" bestFit="1" customWidth="1"/>
    <col min="5898" max="5898" width="66.140625" customWidth="1"/>
    <col min="5899" max="5899" width="12.85546875" customWidth="1"/>
    <col min="5900" max="5915" width="14.42578125" customWidth="1"/>
    <col min="5916" max="5916" width="17.85546875" bestFit="1" customWidth="1"/>
    <col min="6154" max="6154" width="66.140625" customWidth="1"/>
    <col min="6155" max="6155" width="12.85546875" customWidth="1"/>
    <col min="6156" max="6171" width="14.42578125" customWidth="1"/>
    <col min="6172" max="6172" width="17.85546875" bestFit="1" customWidth="1"/>
    <col min="6410" max="6410" width="66.140625" customWidth="1"/>
    <col min="6411" max="6411" width="12.85546875" customWidth="1"/>
    <col min="6412" max="6427" width="14.42578125" customWidth="1"/>
    <col min="6428" max="6428" width="17.85546875" bestFit="1" customWidth="1"/>
    <col min="6666" max="6666" width="66.140625" customWidth="1"/>
    <col min="6667" max="6667" width="12.85546875" customWidth="1"/>
    <col min="6668" max="6683" width="14.42578125" customWidth="1"/>
    <col min="6684" max="6684" width="17.85546875" bestFit="1" customWidth="1"/>
    <col min="6922" max="6922" width="66.140625" customWidth="1"/>
    <col min="6923" max="6923" width="12.85546875" customWidth="1"/>
    <col min="6924" max="6939" width="14.42578125" customWidth="1"/>
    <col min="6940" max="6940" width="17.85546875" bestFit="1" customWidth="1"/>
    <col min="7178" max="7178" width="66.140625" customWidth="1"/>
    <col min="7179" max="7179" width="12.85546875" customWidth="1"/>
    <col min="7180" max="7195" width="14.42578125" customWidth="1"/>
    <col min="7196" max="7196" width="17.85546875" bestFit="1" customWidth="1"/>
    <col min="7434" max="7434" width="66.140625" customWidth="1"/>
    <col min="7435" max="7435" width="12.85546875" customWidth="1"/>
    <col min="7436" max="7451" width="14.42578125" customWidth="1"/>
    <col min="7452" max="7452" width="17.85546875" bestFit="1" customWidth="1"/>
    <col min="7690" max="7690" width="66.140625" customWidth="1"/>
    <col min="7691" max="7691" width="12.85546875" customWidth="1"/>
    <col min="7692" max="7707" width="14.42578125" customWidth="1"/>
    <col min="7708" max="7708" width="17.85546875" bestFit="1" customWidth="1"/>
    <col min="7946" max="7946" width="66.140625" customWidth="1"/>
    <col min="7947" max="7947" width="12.85546875" customWidth="1"/>
    <col min="7948" max="7963" width="14.42578125" customWidth="1"/>
    <col min="7964" max="7964" width="17.85546875" bestFit="1" customWidth="1"/>
    <col min="8202" max="8202" width="66.140625" customWidth="1"/>
    <col min="8203" max="8203" width="12.85546875" customWidth="1"/>
    <col min="8204" max="8219" width="14.42578125" customWidth="1"/>
    <col min="8220" max="8220" width="17.85546875" bestFit="1" customWidth="1"/>
    <col min="8458" max="8458" width="66.140625" customWidth="1"/>
    <col min="8459" max="8459" width="12.85546875" customWidth="1"/>
    <col min="8460" max="8475" width="14.42578125" customWidth="1"/>
    <col min="8476" max="8476" width="17.85546875" bestFit="1" customWidth="1"/>
    <col min="8714" max="8714" width="66.140625" customWidth="1"/>
    <col min="8715" max="8715" width="12.85546875" customWidth="1"/>
    <col min="8716" max="8731" width="14.42578125" customWidth="1"/>
    <col min="8732" max="8732" width="17.85546875" bestFit="1" customWidth="1"/>
    <col min="8970" max="8970" width="66.140625" customWidth="1"/>
    <col min="8971" max="8971" width="12.85546875" customWidth="1"/>
    <col min="8972" max="8987" width="14.42578125" customWidth="1"/>
    <col min="8988" max="8988" width="17.85546875" bestFit="1" customWidth="1"/>
    <col min="9226" max="9226" width="66.140625" customWidth="1"/>
    <col min="9227" max="9227" width="12.85546875" customWidth="1"/>
    <col min="9228" max="9243" width="14.42578125" customWidth="1"/>
    <col min="9244" max="9244" width="17.85546875" bestFit="1" customWidth="1"/>
    <col min="9482" max="9482" width="66.140625" customWidth="1"/>
    <col min="9483" max="9483" width="12.85546875" customWidth="1"/>
    <col min="9484" max="9499" width="14.42578125" customWidth="1"/>
    <col min="9500" max="9500" width="17.85546875" bestFit="1" customWidth="1"/>
    <col min="9738" max="9738" width="66.140625" customWidth="1"/>
    <col min="9739" max="9739" width="12.85546875" customWidth="1"/>
    <col min="9740" max="9755" width="14.42578125" customWidth="1"/>
    <col min="9756" max="9756" width="17.85546875" bestFit="1" customWidth="1"/>
    <col min="9994" max="9994" width="66.140625" customWidth="1"/>
    <col min="9995" max="9995" width="12.85546875" customWidth="1"/>
    <col min="9996" max="10011" width="14.42578125" customWidth="1"/>
    <col min="10012" max="10012" width="17.85546875" bestFit="1" customWidth="1"/>
    <col min="10250" max="10250" width="66.140625" customWidth="1"/>
    <col min="10251" max="10251" width="12.85546875" customWidth="1"/>
    <col min="10252" max="10267" width="14.42578125" customWidth="1"/>
    <col min="10268" max="10268" width="17.85546875" bestFit="1" customWidth="1"/>
    <col min="10506" max="10506" width="66.140625" customWidth="1"/>
    <col min="10507" max="10507" width="12.85546875" customWidth="1"/>
    <col min="10508" max="10523" width="14.42578125" customWidth="1"/>
    <col min="10524" max="10524" width="17.85546875" bestFit="1" customWidth="1"/>
    <col min="10762" max="10762" width="66.140625" customWidth="1"/>
    <col min="10763" max="10763" width="12.85546875" customWidth="1"/>
    <col min="10764" max="10779" width="14.42578125" customWidth="1"/>
    <col min="10780" max="10780" width="17.85546875" bestFit="1" customWidth="1"/>
    <col min="11018" max="11018" width="66.140625" customWidth="1"/>
    <col min="11019" max="11019" width="12.85546875" customWidth="1"/>
    <col min="11020" max="11035" width="14.42578125" customWidth="1"/>
    <col min="11036" max="11036" width="17.85546875" bestFit="1" customWidth="1"/>
    <col min="11274" max="11274" width="66.140625" customWidth="1"/>
    <col min="11275" max="11275" width="12.85546875" customWidth="1"/>
    <col min="11276" max="11291" width="14.42578125" customWidth="1"/>
    <col min="11292" max="11292" width="17.85546875" bestFit="1" customWidth="1"/>
    <col min="11530" max="11530" width="66.140625" customWidth="1"/>
    <col min="11531" max="11531" width="12.85546875" customWidth="1"/>
    <col min="11532" max="11547" width="14.42578125" customWidth="1"/>
    <col min="11548" max="11548" width="17.85546875" bestFit="1" customWidth="1"/>
    <col min="11786" max="11786" width="66.140625" customWidth="1"/>
    <col min="11787" max="11787" width="12.85546875" customWidth="1"/>
    <col min="11788" max="11803" width="14.42578125" customWidth="1"/>
    <col min="11804" max="11804" width="17.85546875" bestFit="1" customWidth="1"/>
    <col min="12042" max="12042" width="66.140625" customWidth="1"/>
    <col min="12043" max="12043" width="12.85546875" customWidth="1"/>
    <col min="12044" max="12059" width="14.42578125" customWidth="1"/>
    <col min="12060" max="12060" width="17.85546875" bestFit="1" customWidth="1"/>
    <col min="12298" max="12298" width="66.140625" customWidth="1"/>
    <col min="12299" max="12299" width="12.85546875" customWidth="1"/>
    <col min="12300" max="12315" width="14.42578125" customWidth="1"/>
    <col min="12316" max="12316" width="17.85546875" bestFit="1" customWidth="1"/>
    <col min="12554" max="12554" width="66.140625" customWidth="1"/>
    <col min="12555" max="12555" width="12.85546875" customWidth="1"/>
    <col min="12556" max="12571" width="14.42578125" customWidth="1"/>
    <col min="12572" max="12572" width="17.85546875" bestFit="1" customWidth="1"/>
    <col min="12810" max="12810" width="66.140625" customWidth="1"/>
    <col min="12811" max="12811" width="12.85546875" customWidth="1"/>
    <col min="12812" max="12827" width="14.42578125" customWidth="1"/>
    <col min="12828" max="12828" width="17.85546875" bestFit="1" customWidth="1"/>
    <col min="13066" max="13066" width="66.140625" customWidth="1"/>
    <col min="13067" max="13067" width="12.85546875" customWidth="1"/>
    <col min="13068" max="13083" width="14.42578125" customWidth="1"/>
    <col min="13084" max="13084" width="17.85546875" bestFit="1" customWidth="1"/>
    <col min="13322" max="13322" width="66.140625" customWidth="1"/>
    <col min="13323" max="13323" width="12.85546875" customWidth="1"/>
    <col min="13324" max="13339" width="14.42578125" customWidth="1"/>
    <col min="13340" max="13340" width="17.85546875" bestFit="1" customWidth="1"/>
    <col min="13578" max="13578" width="66.140625" customWidth="1"/>
    <col min="13579" max="13579" width="12.85546875" customWidth="1"/>
    <col min="13580" max="13595" width="14.42578125" customWidth="1"/>
    <col min="13596" max="13596" width="17.85546875" bestFit="1" customWidth="1"/>
    <col min="13834" max="13834" width="66.140625" customWidth="1"/>
    <col min="13835" max="13835" width="12.85546875" customWidth="1"/>
    <col min="13836" max="13851" width="14.42578125" customWidth="1"/>
    <col min="13852" max="13852" width="17.85546875" bestFit="1" customWidth="1"/>
    <col min="14090" max="14090" width="66.140625" customWidth="1"/>
    <col min="14091" max="14091" width="12.85546875" customWidth="1"/>
    <col min="14092" max="14107" width="14.42578125" customWidth="1"/>
    <col min="14108" max="14108" width="17.85546875" bestFit="1" customWidth="1"/>
    <col min="14346" max="14346" width="66.140625" customWidth="1"/>
    <col min="14347" max="14347" width="12.85546875" customWidth="1"/>
    <col min="14348" max="14363" width="14.42578125" customWidth="1"/>
    <col min="14364" max="14364" width="17.85546875" bestFit="1" customWidth="1"/>
    <col min="14602" max="14602" width="66.140625" customWidth="1"/>
    <col min="14603" max="14603" width="12.85546875" customWidth="1"/>
    <col min="14604" max="14619" width="14.42578125" customWidth="1"/>
    <col min="14620" max="14620" width="17.85546875" bestFit="1" customWidth="1"/>
    <col min="14858" max="14858" width="66.140625" customWidth="1"/>
    <col min="14859" max="14859" width="12.85546875" customWidth="1"/>
    <col min="14860" max="14875" width="14.42578125" customWidth="1"/>
    <col min="14876" max="14876" width="17.85546875" bestFit="1" customWidth="1"/>
    <col min="15114" max="15114" width="66.140625" customWidth="1"/>
    <col min="15115" max="15115" width="12.85546875" customWidth="1"/>
    <col min="15116" max="15131" width="14.42578125" customWidth="1"/>
    <col min="15132" max="15132" width="17.85546875" bestFit="1" customWidth="1"/>
    <col min="15370" max="15370" width="66.140625" customWidth="1"/>
    <col min="15371" max="15371" width="12.85546875" customWidth="1"/>
    <col min="15372" max="15387" width="14.42578125" customWidth="1"/>
    <col min="15388" max="15388" width="17.85546875" bestFit="1" customWidth="1"/>
    <col min="15626" max="15626" width="66.140625" customWidth="1"/>
    <col min="15627" max="15627" width="12.85546875" customWidth="1"/>
    <col min="15628" max="15643" width="14.42578125" customWidth="1"/>
    <col min="15644" max="15644" width="17.85546875" bestFit="1" customWidth="1"/>
    <col min="15882" max="15882" width="66.140625" customWidth="1"/>
    <col min="15883" max="15883" width="12.85546875" customWidth="1"/>
    <col min="15884" max="15899" width="14.42578125" customWidth="1"/>
    <col min="15900" max="15900" width="17.85546875" bestFit="1" customWidth="1"/>
    <col min="16138" max="16138" width="66.140625" customWidth="1"/>
    <col min="16139" max="16139" width="12.85546875" customWidth="1"/>
    <col min="16140" max="16155" width="14.42578125" customWidth="1"/>
    <col min="16156" max="16156" width="17.85546875" bestFit="1" customWidth="1"/>
  </cols>
  <sheetData>
    <row r="1" spans="1:225" ht="20.25">
      <c r="A1" s="1" t="s">
        <v>0</v>
      </c>
      <c r="B1" s="2"/>
      <c r="C1" s="3" t="s">
        <v>1</v>
      </c>
      <c r="D1" s="4"/>
      <c r="E1" s="2"/>
      <c r="F1" s="2"/>
      <c r="G1" s="2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ht="20.25">
      <c r="A2" s="6" t="s">
        <v>2</v>
      </c>
      <c r="B2" s="2"/>
      <c r="C2" s="3" t="s">
        <v>69</v>
      </c>
      <c r="D2" s="4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</row>
    <row r="3" spans="1:225" ht="20.25">
      <c r="A3" s="1"/>
      <c r="B3" s="2"/>
      <c r="C3" s="8" t="s">
        <v>4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ht="15.75">
      <c r="A4" s="9" t="s">
        <v>5</v>
      </c>
      <c r="B4" s="2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ht="15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ht="15.75">
      <c r="A7" s="11" t="s">
        <v>7</v>
      </c>
      <c r="B7" s="2"/>
      <c r="C7" s="12">
        <v>2016</v>
      </c>
      <c r="D7" s="12">
        <f t="shared" ref="D7:AA7" si="0">(C7+1)</f>
        <v>2017</v>
      </c>
      <c r="E7" s="12">
        <f t="shared" si="0"/>
        <v>2018</v>
      </c>
      <c r="F7" s="12">
        <f t="shared" si="0"/>
        <v>2019</v>
      </c>
      <c r="G7" s="12">
        <f t="shared" si="0"/>
        <v>2020</v>
      </c>
      <c r="H7" s="12">
        <f t="shared" si="0"/>
        <v>2021</v>
      </c>
      <c r="I7" s="12">
        <f t="shared" si="0"/>
        <v>2022</v>
      </c>
      <c r="J7" s="12">
        <f t="shared" si="0"/>
        <v>2023</v>
      </c>
      <c r="K7" s="12">
        <f t="shared" si="0"/>
        <v>2024</v>
      </c>
      <c r="L7" s="12">
        <f>(K7+1)</f>
        <v>2025</v>
      </c>
      <c r="M7" s="12">
        <f t="shared" si="0"/>
        <v>2026</v>
      </c>
      <c r="N7" s="12">
        <f t="shared" si="0"/>
        <v>2027</v>
      </c>
      <c r="O7" s="12">
        <f t="shared" si="0"/>
        <v>2028</v>
      </c>
      <c r="P7" s="12">
        <f t="shared" si="0"/>
        <v>2029</v>
      </c>
      <c r="Q7" s="12">
        <f t="shared" si="0"/>
        <v>2030</v>
      </c>
      <c r="R7" s="12">
        <f t="shared" si="0"/>
        <v>2031</v>
      </c>
      <c r="S7" s="12">
        <f t="shared" si="0"/>
        <v>2032</v>
      </c>
      <c r="T7" s="12">
        <f t="shared" si="0"/>
        <v>2033</v>
      </c>
      <c r="U7" s="12">
        <f t="shared" si="0"/>
        <v>2034</v>
      </c>
      <c r="V7" s="12">
        <f t="shared" si="0"/>
        <v>2035</v>
      </c>
      <c r="W7" s="12">
        <f t="shared" si="0"/>
        <v>2036</v>
      </c>
      <c r="X7" s="12">
        <f t="shared" si="0"/>
        <v>2037</v>
      </c>
      <c r="Y7" s="12">
        <f t="shared" si="0"/>
        <v>2038</v>
      </c>
      <c r="Z7" s="12">
        <f t="shared" si="0"/>
        <v>2039</v>
      </c>
      <c r="AA7" s="12">
        <f t="shared" si="0"/>
        <v>2040</v>
      </c>
      <c r="AB7" s="13" t="s">
        <v>8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ht="15.75">
      <c r="A8" s="14" t="s">
        <v>70</v>
      </c>
      <c r="B8" s="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ht="15.75">
      <c r="A9" s="14" t="s">
        <v>71</v>
      </c>
      <c r="B9" s="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ht="15.75">
      <c r="A10" s="14"/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ht="15.75">
      <c r="A11" s="18" t="s">
        <v>72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</row>
    <row r="12" spans="1:225" ht="15.75">
      <c r="A12" s="19" t="s">
        <v>12</v>
      </c>
      <c r="B12" s="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</row>
    <row r="13" spans="1:225" s="2" customFormat="1">
      <c r="A13" s="19" t="s">
        <v>13</v>
      </c>
      <c r="C13" s="17">
        <v>0</v>
      </c>
      <c r="D13" s="17">
        <f>5*200*365</f>
        <v>365000</v>
      </c>
      <c r="E13" s="17">
        <f>10*200*365</f>
        <v>730000</v>
      </c>
      <c r="F13" s="17">
        <f>10*200*365</f>
        <v>730000</v>
      </c>
      <c r="G13" s="17">
        <f>F13</f>
        <v>730000</v>
      </c>
      <c r="H13" s="17">
        <f t="shared" ref="H13:AA13" si="1">G13</f>
        <v>730000</v>
      </c>
      <c r="I13" s="17">
        <f t="shared" si="1"/>
        <v>730000</v>
      </c>
      <c r="J13" s="17">
        <f t="shared" si="1"/>
        <v>730000</v>
      </c>
      <c r="K13" s="17">
        <f t="shared" si="1"/>
        <v>730000</v>
      </c>
      <c r="L13" s="17">
        <f t="shared" si="1"/>
        <v>730000</v>
      </c>
      <c r="M13" s="17">
        <f t="shared" si="1"/>
        <v>730000</v>
      </c>
      <c r="N13" s="17">
        <f t="shared" si="1"/>
        <v>730000</v>
      </c>
      <c r="O13" s="17">
        <f t="shared" si="1"/>
        <v>730000</v>
      </c>
      <c r="P13" s="17">
        <f t="shared" si="1"/>
        <v>730000</v>
      </c>
      <c r="Q13" s="17">
        <f t="shared" si="1"/>
        <v>730000</v>
      </c>
      <c r="R13" s="17">
        <f t="shared" si="1"/>
        <v>730000</v>
      </c>
      <c r="S13" s="17">
        <f t="shared" si="1"/>
        <v>730000</v>
      </c>
      <c r="T13" s="17">
        <f t="shared" si="1"/>
        <v>730000</v>
      </c>
      <c r="U13" s="17">
        <f t="shared" si="1"/>
        <v>730000</v>
      </c>
      <c r="V13" s="17">
        <f t="shared" si="1"/>
        <v>730000</v>
      </c>
      <c r="W13" s="17">
        <f t="shared" si="1"/>
        <v>730000</v>
      </c>
      <c r="X13" s="17">
        <f t="shared" si="1"/>
        <v>730000</v>
      </c>
      <c r="Y13" s="17">
        <f t="shared" si="1"/>
        <v>730000</v>
      </c>
      <c r="Z13" s="17">
        <f t="shared" si="1"/>
        <v>730000</v>
      </c>
      <c r="AA13" s="17">
        <f t="shared" si="1"/>
        <v>730000</v>
      </c>
      <c r="AB13" s="16">
        <f t="shared" ref="AB13:AB22" si="2">SUM(C13:AA13)</f>
        <v>17155000</v>
      </c>
    </row>
    <row r="14" spans="1:225" s="2" customFormat="1">
      <c r="A14" s="19" t="s">
        <v>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6"/>
    </row>
    <row r="15" spans="1:225" s="2" customFormat="1">
      <c r="A15" s="19" t="s">
        <v>78</v>
      </c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6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</row>
    <row r="16" spans="1:225" s="2" customFormat="1">
      <c r="A16" s="19"/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</row>
    <row r="17" spans="1:225" s="2" customFormat="1">
      <c r="A17" s="19" t="s">
        <v>16</v>
      </c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</row>
    <row r="18" spans="1:225" s="2" customFormat="1">
      <c r="A18" s="19" t="s">
        <v>17</v>
      </c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</row>
    <row r="19" spans="1:225" s="2" customFormat="1">
      <c r="A19" s="19" t="s">
        <v>78</v>
      </c>
      <c r="B19" s="20"/>
      <c r="C19" s="17">
        <v>0</v>
      </c>
      <c r="D19" s="17">
        <f>5*365*44</f>
        <v>80300</v>
      </c>
      <c r="E19" s="17">
        <f>10*365*44</f>
        <v>160600</v>
      </c>
      <c r="F19" s="17">
        <f>10*365*44</f>
        <v>160600</v>
      </c>
      <c r="G19" s="17">
        <f>F19</f>
        <v>160600</v>
      </c>
      <c r="H19" s="17">
        <f t="shared" ref="H19:AA19" si="3">G19</f>
        <v>160600</v>
      </c>
      <c r="I19" s="17">
        <f t="shared" si="3"/>
        <v>160600</v>
      </c>
      <c r="J19" s="17">
        <f t="shared" si="3"/>
        <v>160600</v>
      </c>
      <c r="K19" s="17">
        <f t="shared" si="3"/>
        <v>160600</v>
      </c>
      <c r="L19" s="17">
        <f t="shared" si="3"/>
        <v>160600</v>
      </c>
      <c r="M19" s="17">
        <f t="shared" si="3"/>
        <v>160600</v>
      </c>
      <c r="N19" s="17">
        <f t="shared" si="3"/>
        <v>160600</v>
      </c>
      <c r="O19" s="17">
        <f t="shared" si="3"/>
        <v>160600</v>
      </c>
      <c r="P19" s="17">
        <f t="shared" si="3"/>
        <v>160600</v>
      </c>
      <c r="Q19" s="17">
        <f t="shared" si="3"/>
        <v>160600</v>
      </c>
      <c r="R19" s="17">
        <f t="shared" si="3"/>
        <v>160600</v>
      </c>
      <c r="S19" s="17">
        <f t="shared" si="3"/>
        <v>160600</v>
      </c>
      <c r="T19" s="17">
        <f t="shared" si="3"/>
        <v>160600</v>
      </c>
      <c r="U19" s="17">
        <f t="shared" si="3"/>
        <v>160600</v>
      </c>
      <c r="V19" s="17">
        <f t="shared" si="3"/>
        <v>160600</v>
      </c>
      <c r="W19" s="17">
        <f t="shared" si="3"/>
        <v>160600</v>
      </c>
      <c r="X19" s="17">
        <f t="shared" si="3"/>
        <v>160600</v>
      </c>
      <c r="Y19" s="17">
        <f t="shared" si="3"/>
        <v>160600</v>
      </c>
      <c r="Z19" s="17">
        <f t="shared" si="3"/>
        <v>160600</v>
      </c>
      <c r="AA19" s="17">
        <f t="shared" si="3"/>
        <v>160600</v>
      </c>
      <c r="AB19" s="16">
        <f t="shared" si="2"/>
        <v>3774100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</row>
    <row r="20" spans="1:225" s="2" customFormat="1">
      <c r="A20" s="19"/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6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</row>
    <row r="21" spans="1:225" s="2" customFormat="1">
      <c r="A21" s="19" t="s">
        <v>19</v>
      </c>
      <c r="B21" s="20"/>
      <c r="C21" s="17">
        <v>0</v>
      </c>
      <c r="D21" s="17">
        <v>0</v>
      </c>
      <c r="E21" s="17">
        <v>0</v>
      </c>
      <c r="F21" s="17">
        <v>0</v>
      </c>
      <c r="G21" s="17">
        <v>-62110474.07</v>
      </c>
      <c r="H21" s="17">
        <v>-62110474.07</v>
      </c>
      <c r="I21" s="17">
        <v>-62110474.07</v>
      </c>
      <c r="J21" s="17">
        <v>-62110474.07</v>
      </c>
      <c r="K21" s="17">
        <v>-62110474.07</v>
      </c>
      <c r="L21" s="17">
        <v>-62110474.07</v>
      </c>
      <c r="M21" s="17">
        <v>-62110474.07</v>
      </c>
      <c r="N21" s="17">
        <v>-62110474.07</v>
      </c>
      <c r="O21" s="17">
        <v>-62110474.07</v>
      </c>
      <c r="P21" s="17">
        <v>-62110474.07</v>
      </c>
      <c r="Q21" s="17">
        <v>-62110474.07</v>
      </c>
      <c r="R21" s="17">
        <v>-62110474.07</v>
      </c>
      <c r="S21" s="17">
        <v>-62110474.07</v>
      </c>
      <c r="T21" s="17">
        <v>-62110474.07</v>
      </c>
      <c r="U21" s="17">
        <v>-62110474.07</v>
      </c>
      <c r="V21" s="17">
        <v>-62110474.07</v>
      </c>
      <c r="W21" s="17">
        <v>-62110474.07</v>
      </c>
      <c r="X21" s="17">
        <v>-62110474.07</v>
      </c>
      <c r="Y21" s="17">
        <v>-62110474.07</v>
      </c>
      <c r="Z21" s="17">
        <v>-62110474.07</v>
      </c>
      <c r="AA21" s="17">
        <v>-62110474.07</v>
      </c>
      <c r="AB21" s="16">
        <f t="shared" si="2"/>
        <v>-1304319955.4700003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</row>
    <row r="22" spans="1:225" s="2" customFormat="1">
      <c r="A22" s="19" t="s">
        <v>20</v>
      </c>
      <c r="B22" s="20"/>
      <c r="C22" s="17">
        <v>0</v>
      </c>
      <c r="D22" s="17">
        <v>0</v>
      </c>
      <c r="E22" s="17">
        <v>0</v>
      </c>
      <c r="F22" s="17">
        <v>0</v>
      </c>
      <c r="G22" s="17">
        <v>61615685.039999999</v>
      </c>
      <c r="H22" s="17">
        <f>G22</f>
        <v>61615685.039999999</v>
      </c>
      <c r="I22" s="17">
        <f t="shared" ref="I22:AA22" si="4">H22</f>
        <v>61615685.039999999</v>
      </c>
      <c r="J22" s="17">
        <f t="shared" si="4"/>
        <v>61615685.039999999</v>
      </c>
      <c r="K22" s="17">
        <f t="shared" si="4"/>
        <v>61615685.039999999</v>
      </c>
      <c r="L22" s="17">
        <f t="shared" si="4"/>
        <v>61615685.039999999</v>
      </c>
      <c r="M22" s="17">
        <f t="shared" si="4"/>
        <v>61615685.039999999</v>
      </c>
      <c r="N22" s="17">
        <f t="shared" si="4"/>
        <v>61615685.039999999</v>
      </c>
      <c r="O22" s="17">
        <f t="shared" si="4"/>
        <v>61615685.039999999</v>
      </c>
      <c r="P22" s="17">
        <f t="shared" si="4"/>
        <v>61615685.039999999</v>
      </c>
      <c r="Q22" s="17">
        <f t="shared" si="4"/>
        <v>61615685.039999999</v>
      </c>
      <c r="R22" s="17">
        <f t="shared" si="4"/>
        <v>61615685.039999999</v>
      </c>
      <c r="S22" s="17">
        <f t="shared" si="4"/>
        <v>61615685.039999999</v>
      </c>
      <c r="T22" s="17">
        <f t="shared" si="4"/>
        <v>61615685.039999999</v>
      </c>
      <c r="U22" s="17">
        <f t="shared" si="4"/>
        <v>61615685.039999999</v>
      </c>
      <c r="V22" s="17">
        <f t="shared" si="4"/>
        <v>61615685.039999999</v>
      </c>
      <c r="W22" s="17">
        <f t="shared" si="4"/>
        <v>61615685.039999999</v>
      </c>
      <c r="X22" s="17">
        <f t="shared" si="4"/>
        <v>61615685.039999999</v>
      </c>
      <c r="Y22" s="17">
        <f t="shared" si="4"/>
        <v>61615685.039999999</v>
      </c>
      <c r="Z22" s="17">
        <f t="shared" si="4"/>
        <v>61615685.039999999</v>
      </c>
      <c r="AA22" s="17">
        <f t="shared" si="4"/>
        <v>61615685.039999999</v>
      </c>
      <c r="AB22" s="86">
        <f t="shared" si="2"/>
        <v>1293929385.8399997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</row>
    <row r="23" spans="1:225" s="2" customFormat="1">
      <c r="A23" s="19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21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</row>
    <row r="24" spans="1:225" s="4" customFormat="1" ht="15.75">
      <c r="A24" s="22" t="s">
        <v>21</v>
      </c>
      <c r="C24" s="23">
        <f t="shared" ref="C24:AA24" si="5">SUM(C11:C22)</f>
        <v>0</v>
      </c>
      <c r="D24" s="23">
        <f t="shared" si="5"/>
        <v>445300</v>
      </c>
      <c r="E24" s="23">
        <f t="shared" si="5"/>
        <v>890600</v>
      </c>
      <c r="F24" s="23">
        <f t="shared" si="5"/>
        <v>890600</v>
      </c>
      <c r="G24" s="23">
        <f t="shared" si="5"/>
        <v>395810.96999999881</v>
      </c>
      <c r="H24" s="23">
        <f t="shared" si="5"/>
        <v>395810.96999999881</v>
      </c>
      <c r="I24" s="23">
        <f t="shared" si="5"/>
        <v>395810.96999999881</v>
      </c>
      <c r="J24" s="23">
        <f t="shared" si="5"/>
        <v>395810.96999999881</v>
      </c>
      <c r="K24" s="23">
        <f t="shared" si="5"/>
        <v>395810.96999999881</v>
      </c>
      <c r="L24" s="23">
        <f t="shared" si="5"/>
        <v>395810.96999999881</v>
      </c>
      <c r="M24" s="23">
        <f t="shared" si="5"/>
        <v>395810.96999999881</v>
      </c>
      <c r="N24" s="23">
        <f t="shared" si="5"/>
        <v>395810.96999999881</v>
      </c>
      <c r="O24" s="23">
        <f t="shared" si="5"/>
        <v>395810.96999999881</v>
      </c>
      <c r="P24" s="23">
        <f t="shared" si="5"/>
        <v>395810.96999999881</v>
      </c>
      <c r="Q24" s="23">
        <f t="shared" si="5"/>
        <v>395810.96999999881</v>
      </c>
      <c r="R24" s="23">
        <f t="shared" si="5"/>
        <v>395810.96999999881</v>
      </c>
      <c r="S24" s="23">
        <f t="shared" si="5"/>
        <v>395810.96999999881</v>
      </c>
      <c r="T24" s="23">
        <f t="shared" si="5"/>
        <v>395810.96999999881</v>
      </c>
      <c r="U24" s="23">
        <f t="shared" si="5"/>
        <v>395810.96999999881</v>
      </c>
      <c r="V24" s="23">
        <f t="shared" si="5"/>
        <v>395810.96999999881</v>
      </c>
      <c r="W24" s="23">
        <f t="shared" si="5"/>
        <v>395810.96999999881</v>
      </c>
      <c r="X24" s="23">
        <f t="shared" si="5"/>
        <v>395810.96999999881</v>
      </c>
      <c r="Y24" s="23">
        <f t="shared" si="5"/>
        <v>395810.96999999881</v>
      </c>
      <c r="Z24" s="23">
        <f t="shared" si="5"/>
        <v>395810.96999999881</v>
      </c>
      <c r="AA24" s="23">
        <f t="shared" si="5"/>
        <v>395810.96999999881</v>
      </c>
      <c r="AB24" s="24">
        <f>SUM(C24:AA24)</f>
        <v>10538530.369999975</v>
      </c>
    </row>
    <row r="25" spans="1:225" s="2" customFormat="1">
      <c r="A25" s="25"/>
      <c r="B25" s="2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6"/>
    </row>
    <row r="26" spans="1:225" s="2" customFormat="1" ht="15.75">
      <c r="A26" s="22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6"/>
    </row>
    <row r="27" spans="1:225" s="2" customFormat="1" ht="15.75">
      <c r="A27" s="28" t="s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</row>
    <row r="28" spans="1:225" s="2" customFormat="1" ht="15.75">
      <c r="A28" s="29" t="s">
        <v>24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</row>
    <row r="29" spans="1:225" s="2" customFormat="1" ht="15.75">
      <c r="A29" s="30" t="s">
        <v>25</v>
      </c>
      <c r="C29" s="27">
        <v>0</v>
      </c>
      <c r="D29" s="27">
        <f>5*14.7*365</f>
        <v>26827.5</v>
      </c>
      <c r="E29" s="27">
        <f>10*14.7*365</f>
        <v>53655</v>
      </c>
      <c r="F29" s="27">
        <f>E29</f>
        <v>53655</v>
      </c>
      <c r="G29" s="27">
        <f t="shared" ref="G29:V30" si="6">F29</f>
        <v>53655</v>
      </c>
      <c r="H29" s="27">
        <f t="shared" si="6"/>
        <v>53655</v>
      </c>
      <c r="I29" s="27">
        <f t="shared" si="6"/>
        <v>53655</v>
      </c>
      <c r="J29" s="27">
        <f t="shared" si="6"/>
        <v>53655</v>
      </c>
      <c r="K29" s="27">
        <f t="shared" si="6"/>
        <v>53655</v>
      </c>
      <c r="L29" s="27">
        <f t="shared" si="6"/>
        <v>53655</v>
      </c>
      <c r="M29" s="27">
        <f t="shared" si="6"/>
        <v>53655</v>
      </c>
      <c r="N29" s="27">
        <f t="shared" si="6"/>
        <v>53655</v>
      </c>
      <c r="O29" s="27">
        <f t="shared" si="6"/>
        <v>53655</v>
      </c>
      <c r="P29" s="27">
        <f t="shared" si="6"/>
        <v>53655</v>
      </c>
      <c r="Q29" s="27">
        <f t="shared" si="6"/>
        <v>53655</v>
      </c>
      <c r="R29" s="27">
        <f t="shared" si="6"/>
        <v>53655</v>
      </c>
      <c r="S29" s="27">
        <f t="shared" si="6"/>
        <v>53655</v>
      </c>
      <c r="T29" s="27">
        <f t="shared" si="6"/>
        <v>53655</v>
      </c>
      <c r="U29" s="27">
        <f t="shared" si="6"/>
        <v>53655</v>
      </c>
      <c r="V29" s="27">
        <f t="shared" si="6"/>
        <v>53655</v>
      </c>
      <c r="W29" s="27">
        <f t="shared" ref="W29:AA30" si="7">V29</f>
        <v>53655</v>
      </c>
      <c r="X29" s="27">
        <f t="shared" si="7"/>
        <v>53655</v>
      </c>
      <c r="Y29" s="27">
        <f t="shared" si="7"/>
        <v>53655</v>
      </c>
      <c r="Z29" s="27">
        <f t="shared" si="7"/>
        <v>53655</v>
      </c>
      <c r="AA29" s="27">
        <f t="shared" si="7"/>
        <v>53655</v>
      </c>
      <c r="AB29" s="16">
        <f t="shared" ref="AB29:AB34" si="8">SUM(C29:AA29)</f>
        <v>1260892.5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1:225" s="2" customFormat="1" ht="15.75">
      <c r="A30" s="30" t="s">
        <v>26</v>
      </c>
      <c r="C30" s="27"/>
      <c r="D30" s="27">
        <f>5*40*365</f>
        <v>73000</v>
      </c>
      <c r="E30" s="27">
        <f>10*40*365</f>
        <v>146000</v>
      </c>
      <c r="F30" s="27">
        <f>E30</f>
        <v>146000</v>
      </c>
      <c r="G30" s="27">
        <f t="shared" si="6"/>
        <v>146000</v>
      </c>
      <c r="H30" s="27">
        <f t="shared" si="6"/>
        <v>146000</v>
      </c>
      <c r="I30" s="27">
        <f t="shared" si="6"/>
        <v>146000</v>
      </c>
      <c r="J30" s="27">
        <f t="shared" si="6"/>
        <v>146000</v>
      </c>
      <c r="K30" s="27">
        <f t="shared" si="6"/>
        <v>146000</v>
      </c>
      <c r="L30" s="27">
        <f t="shared" si="6"/>
        <v>146000</v>
      </c>
      <c r="M30" s="27">
        <f t="shared" si="6"/>
        <v>146000</v>
      </c>
      <c r="N30" s="27">
        <f t="shared" si="6"/>
        <v>146000</v>
      </c>
      <c r="O30" s="27">
        <f t="shared" si="6"/>
        <v>146000</v>
      </c>
      <c r="P30" s="27">
        <f t="shared" si="6"/>
        <v>146000</v>
      </c>
      <c r="Q30" s="27">
        <f t="shared" si="6"/>
        <v>146000</v>
      </c>
      <c r="R30" s="27">
        <f t="shared" si="6"/>
        <v>146000</v>
      </c>
      <c r="S30" s="27">
        <f t="shared" si="6"/>
        <v>146000</v>
      </c>
      <c r="T30" s="27">
        <f t="shared" si="6"/>
        <v>146000</v>
      </c>
      <c r="U30" s="27">
        <f t="shared" si="6"/>
        <v>146000</v>
      </c>
      <c r="V30" s="27">
        <f t="shared" si="6"/>
        <v>146000</v>
      </c>
      <c r="W30" s="27">
        <f t="shared" si="7"/>
        <v>146000</v>
      </c>
      <c r="X30" s="27">
        <f t="shared" si="7"/>
        <v>146000</v>
      </c>
      <c r="Y30" s="27">
        <f t="shared" si="7"/>
        <v>146000</v>
      </c>
      <c r="Z30" s="27">
        <f t="shared" si="7"/>
        <v>146000</v>
      </c>
      <c r="AA30" s="27">
        <f t="shared" si="7"/>
        <v>146000</v>
      </c>
      <c r="AB30" s="16">
        <f t="shared" si="8"/>
        <v>3431000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1:225" s="2" customFormat="1" ht="15.75">
      <c r="A31" s="19" t="s">
        <v>27</v>
      </c>
      <c r="C31" s="27">
        <v>0</v>
      </c>
      <c r="D31" s="27">
        <v>0</v>
      </c>
      <c r="E31" s="27">
        <v>0</v>
      </c>
      <c r="F31" s="27">
        <v>0</v>
      </c>
      <c r="G31" s="27">
        <v>-66778808.969999999</v>
      </c>
      <c r="H31" s="27">
        <v>-66778808.969999999</v>
      </c>
      <c r="I31" s="27">
        <v>-66778808.969999999</v>
      </c>
      <c r="J31" s="27">
        <v>-66778808.969999999</v>
      </c>
      <c r="K31" s="27">
        <v>-66778808.969999999</v>
      </c>
      <c r="L31" s="27">
        <v>-66778808.969999999</v>
      </c>
      <c r="M31" s="27">
        <v>-66778808.969999999</v>
      </c>
      <c r="N31" s="27">
        <v>-66778808.969999999</v>
      </c>
      <c r="O31" s="27">
        <v>-66778808.969999999</v>
      </c>
      <c r="P31" s="27">
        <v>-66778808.969999999</v>
      </c>
      <c r="Q31" s="27">
        <v>-66778808.969999999</v>
      </c>
      <c r="R31" s="27">
        <v>-66778808.969999999</v>
      </c>
      <c r="S31" s="27">
        <v>-66778808.969999999</v>
      </c>
      <c r="T31" s="27">
        <v>-66778808.969999999</v>
      </c>
      <c r="U31" s="27">
        <v>-66778808.969999999</v>
      </c>
      <c r="V31" s="27">
        <v>-66778808.969999999</v>
      </c>
      <c r="W31" s="27">
        <v>-66778808.969999999</v>
      </c>
      <c r="X31" s="27">
        <v>-66778808.969999999</v>
      </c>
      <c r="Y31" s="27">
        <v>-66778808.969999999</v>
      </c>
      <c r="Z31" s="27">
        <v>-66778808.969999999</v>
      </c>
      <c r="AA31" s="27">
        <v>-66778808.969999999</v>
      </c>
      <c r="AB31" s="16">
        <f t="shared" si="8"/>
        <v>-1402354988.3700004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1:225" s="2" customFormat="1" ht="15.75">
      <c r="A32" s="19" t="s">
        <v>28</v>
      </c>
      <c r="C32" s="27">
        <v>0</v>
      </c>
      <c r="D32" s="27">
        <v>0</v>
      </c>
      <c r="E32" s="27">
        <v>0</v>
      </c>
      <c r="F32" s="27">
        <v>0</v>
      </c>
      <c r="G32" s="27">
        <v>66284367.428000003</v>
      </c>
      <c r="H32" s="27">
        <f>G32</f>
        <v>66284367.428000003</v>
      </c>
      <c r="I32" s="27">
        <f t="shared" ref="I32:AA32" si="9">H32</f>
        <v>66284367.428000003</v>
      </c>
      <c r="J32" s="27">
        <f t="shared" si="9"/>
        <v>66284367.428000003</v>
      </c>
      <c r="K32" s="27">
        <f t="shared" si="9"/>
        <v>66284367.428000003</v>
      </c>
      <c r="L32" s="27">
        <f t="shared" si="9"/>
        <v>66284367.428000003</v>
      </c>
      <c r="M32" s="27">
        <f t="shared" si="9"/>
        <v>66284367.428000003</v>
      </c>
      <c r="N32" s="27">
        <f t="shared" si="9"/>
        <v>66284367.428000003</v>
      </c>
      <c r="O32" s="27">
        <f t="shared" si="9"/>
        <v>66284367.428000003</v>
      </c>
      <c r="P32" s="27">
        <f t="shared" si="9"/>
        <v>66284367.428000003</v>
      </c>
      <c r="Q32" s="27">
        <f t="shared" si="9"/>
        <v>66284367.428000003</v>
      </c>
      <c r="R32" s="27">
        <f t="shared" si="9"/>
        <v>66284367.428000003</v>
      </c>
      <c r="S32" s="27">
        <f t="shared" si="9"/>
        <v>66284367.428000003</v>
      </c>
      <c r="T32" s="27">
        <f t="shared" si="9"/>
        <v>66284367.428000003</v>
      </c>
      <c r="U32" s="27">
        <f t="shared" si="9"/>
        <v>66284367.428000003</v>
      </c>
      <c r="V32" s="27">
        <f t="shared" si="9"/>
        <v>66284367.428000003</v>
      </c>
      <c r="W32" s="27">
        <f t="shared" si="9"/>
        <v>66284367.428000003</v>
      </c>
      <c r="X32" s="27">
        <f t="shared" si="9"/>
        <v>66284367.428000003</v>
      </c>
      <c r="Y32" s="27">
        <f t="shared" si="9"/>
        <v>66284367.428000003</v>
      </c>
      <c r="Z32" s="27">
        <f t="shared" si="9"/>
        <v>66284367.428000003</v>
      </c>
      <c r="AA32" s="27">
        <f t="shared" si="9"/>
        <v>66284367.428000003</v>
      </c>
      <c r="AB32" s="16">
        <f t="shared" si="8"/>
        <v>1391971715.9879997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1:225" s="2" customFormat="1" ht="15.75">
      <c r="A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16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1:225" s="2" customFormat="1" ht="15.75">
      <c r="A34" s="29" t="s">
        <v>29</v>
      </c>
      <c r="B34" s="31"/>
      <c r="C34" s="32">
        <v>480000</v>
      </c>
      <c r="D34" s="32">
        <f>C34</f>
        <v>480000</v>
      </c>
      <c r="E34" s="32">
        <f t="shared" ref="E34:K34" si="10">D34</f>
        <v>480000</v>
      </c>
      <c r="F34" s="32">
        <f t="shared" si="10"/>
        <v>480000</v>
      </c>
      <c r="G34" s="32">
        <f t="shared" si="10"/>
        <v>480000</v>
      </c>
      <c r="H34" s="32">
        <f t="shared" si="10"/>
        <v>480000</v>
      </c>
      <c r="I34" s="32">
        <f t="shared" si="10"/>
        <v>480000</v>
      </c>
      <c r="J34" s="32">
        <f t="shared" si="10"/>
        <v>480000</v>
      </c>
      <c r="K34" s="32">
        <f t="shared" si="10"/>
        <v>480000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16">
        <f t="shared" si="8"/>
        <v>4320000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1:225" s="2" customFormat="1" ht="15.75">
      <c r="A35" s="33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21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1:225" s="4" customFormat="1" ht="15.75">
      <c r="A36" s="22" t="s">
        <v>30</v>
      </c>
      <c r="C36" s="23">
        <f>SUM(C26:C35)</f>
        <v>480000</v>
      </c>
      <c r="D36" s="23">
        <f t="shared" ref="D36:AA36" si="11">SUM(D26:D35)</f>
        <v>579827.5</v>
      </c>
      <c r="E36" s="23">
        <f t="shared" si="11"/>
        <v>679655</v>
      </c>
      <c r="F36" s="23">
        <f t="shared" si="11"/>
        <v>679655</v>
      </c>
      <c r="G36" s="23">
        <f t="shared" si="11"/>
        <v>185213.45800000429</v>
      </c>
      <c r="H36" s="23">
        <f t="shared" si="11"/>
        <v>185213.45800000429</v>
      </c>
      <c r="I36" s="23">
        <f t="shared" si="11"/>
        <v>185213.45800000429</v>
      </c>
      <c r="J36" s="23">
        <f t="shared" si="11"/>
        <v>185213.45800000429</v>
      </c>
      <c r="K36" s="23">
        <f t="shared" si="11"/>
        <v>185213.45800000429</v>
      </c>
      <c r="L36" s="23">
        <f t="shared" si="11"/>
        <v>-294786.54199999571</v>
      </c>
      <c r="M36" s="23">
        <f t="shared" si="11"/>
        <v>-294786.54199999571</v>
      </c>
      <c r="N36" s="23">
        <f t="shared" si="11"/>
        <v>-294786.54199999571</v>
      </c>
      <c r="O36" s="23">
        <f t="shared" si="11"/>
        <v>-294786.54199999571</v>
      </c>
      <c r="P36" s="23">
        <f t="shared" si="11"/>
        <v>-294786.54199999571</v>
      </c>
      <c r="Q36" s="23">
        <f t="shared" si="11"/>
        <v>-294786.54199999571</v>
      </c>
      <c r="R36" s="23">
        <f t="shared" si="11"/>
        <v>-294786.54199999571</v>
      </c>
      <c r="S36" s="23">
        <f t="shared" si="11"/>
        <v>-294786.54199999571</v>
      </c>
      <c r="T36" s="23">
        <f t="shared" si="11"/>
        <v>-294786.54199999571</v>
      </c>
      <c r="U36" s="23">
        <f t="shared" si="11"/>
        <v>-294786.54199999571</v>
      </c>
      <c r="V36" s="23">
        <f t="shared" si="11"/>
        <v>-294786.54199999571</v>
      </c>
      <c r="W36" s="23">
        <f t="shared" si="11"/>
        <v>-294786.54199999571</v>
      </c>
      <c r="X36" s="23">
        <f t="shared" si="11"/>
        <v>-294786.54199999571</v>
      </c>
      <c r="Y36" s="23">
        <f t="shared" si="11"/>
        <v>-294786.54199999571</v>
      </c>
      <c r="Z36" s="23">
        <f t="shared" si="11"/>
        <v>-294786.54199999571</v>
      </c>
      <c r="AA36" s="23">
        <f t="shared" si="11"/>
        <v>-294786.54199999571</v>
      </c>
      <c r="AB36" s="24">
        <f>SUM(C36:AA36)</f>
        <v>-1371379.8819999099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</row>
    <row r="37" spans="1:225" s="2" customFormat="1" ht="15.75">
      <c r="A37" s="35"/>
      <c r="B37" s="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1:225" s="2" customFormat="1" ht="15.75">
      <c r="A38" s="22" t="s">
        <v>31</v>
      </c>
      <c r="B38" s="4"/>
      <c r="C38" s="38">
        <f>(C24-C36)</f>
        <v>-480000</v>
      </c>
      <c r="D38" s="38">
        <f t="shared" ref="D38:AA38" si="12">(D24-D36)</f>
        <v>-134527.5</v>
      </c>
      <c r="E38" s="38">
        <f t="shared" si="12"/>
        <v>210945</v>
      </c>
      <c r="F38" s="38">
        <f t="shared" si="12"/>
        <v>210945</v>
      </c>
      <c r="G38" s="38">
        <f t="shared" si="12"/>
        <v>210597.51199999452</v>
      </c>
      <c r="H38" s="38">
        <f t="shared" si="12"/>
        <v>210597.51199999452</v>
      </c>
      <c r="I38" s="38">
        <f t="shared" si="12"/>
        <v>210597.51199999452</v>
      </c>
      <c r="J38" s="38">
        <f t="shared" si="12"/>
        <v>210597.51199999452</v>
      </c>
      <c r="K38" s="38">
        <f t="shared" si="12"/>
        <v>210597.51199999452</v>
      </c>
      <c r="L38" s="38">
        <f t="shared" si="12"/>
        <v>690597.51199999452</v>
      </c>
      <c r="M38" s="38">
        <f t="shared" si="12"/>
        <v>690597.51199999452</v>
      </c>
      <c r="N38" s="38">
        <f t="shared" si="12"/>
        <v>690597.51199999452</v>
      </c>
      <c r="O38" s="38">
        <f t="shared" si="12"/>
        <v>690597.51199999452</v>
      </c>
      <c r="P38" s="38">
        <f t="shared" si="12"/>
        <v>690597.51199999452</v>
      </c>
      <c r="Q38" s="38">
        <f t="shared" si="12"/>
        <v>690597.51199999452</v>
      </c>
      <c r="R38" s="38">
        <f t="shared" si="12"/>
        <v>690597.51199999452</v>
      </c>
      <c r="S38" s="38">
        <f t="shared" si="12"/>
        <v>690597.51199999452</v>
      </c>
      <c r="T38" s="38">
        <f t="shared" si="12"/>
        <v>690597.51199999452</v>
      </c>
      <c r="U38" s="38">
        <f t="shared" si="12"/>
        <v>690597.51199999452</v>
      </c>
      <c r="V38" s="38">
        <f t="shared" si="12"/>
        <v>690597.51199999452</v>
      </c>
      <c r="W38" s="38">
        <f t="shared" si="12"/>
        <v>690597.51199999452</v>
      </c>
      <c r="X38" s="38">
        <f t="shared" si="12"/>
        <v>690597.51199999452</v>
      </c>
      <c r="Y38" s="38">
        <f t="shared" si="12"/>
        <v>690597.51199999452</v>
      </c>
      <c r="Z38" s="38">
        <f t="shared" si="12"/>
        <v>690597.51199999452</v>
      </c>
      <c r="AA38" s="38">
        <f t="shared" si="12"/>
        <v>690597.51199999452</v>
      </c>
      <c r="AB38" s="39">
        <f>SUM(C38:AA38)</f>
        <v>11909910.251999885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</row>
    <row r="39" spans="1:225" s="2" customFormat="1" ht="15.75">
      <c r="A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6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1:225" s="2" customFormat="1" ht="15.75">
      <c r="A40" s="41" t="s">
        <v>32</v>
      </c>
      <c r="B40" s="2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16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</row>
    <row r="41" spans="1:225" s="2" customFormat="1" ht="15.75">
      <c r="A41" s="42" t="s">
        <v>33</v>
      </c>
      <c r="B41" s="20"/>
      <c r="C41" s="17">
        <v>-5250000</v>
      </c>
      <c r="D41" s="17">
        <v>-4500000</v>
      </c>
      <c r="E41" s="17">
        <v>-4750000</v>
      </c>
      <c r="F41" s="17">
        <v>-556304</v>
      </c>
      <c r="G41" s="17"/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6">
        <f t="shared" ref="AB41:AB43" si="13">SUM(C41:AA41)</f>
        <v>-15056304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</row>
    <row r="42" spans="1:225" s="2" customFormat="1" ht="15.75">
      <c r="A42" s="42"/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6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</row>
    <row r="43" spans="1:225" s="2" customFormat="1" ht="15.75">
      <c r="A43" s="42"/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6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1:225" s="2" customFormat="1" ht="15.75">
      <c r="A44" s="43"/>
      <c r="B44" s="1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21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</row>
    <row r="45" spans="1:225" s="2" customFormat="1" ht="15.75">
      <c r="A45" s="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16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</row>
    <row r="46" spans="1:225" s="2" customFormat="1" ht="15.75">
      <c r="A46" s="11" t="s">
        <v>36</v>
      </c>
      <c r="B46" s="4"/>
      <c r="C46" s="38">
        <f>SUM(C40:C44)</f>
        <v>-5250000</v>
      </c>
      <c r="D46" s="38">
        <f t="shared" ref="D46:AA46" si="14">SUM(D40:D44)</f>
        <v>-4500000</v>
      </c>
      <c r="E46" s="38">
        <f t="shared" si="14"/>
        <v>-4750000</v>
      </c>
      <c r="F46" s="38">
        <f t="shared" si="14"/>
        <v>-556304</v>
      </c>
      <c r="G46" s="38">
        <f t="shared" si="14"/>
        <v>0</v>
      </c>
      <c r="H46" s="38">
        <f t="shared" si="14"/>
        <v>0</v>
      </c>
      <c r="I46" s="38">
        <f t="shared" si="14"/>
        <v>0</v>
      </c>
      <c r="J46" s="38">
        <f t="shared" si="14"/>
        <v>0</v>
      </c>
      <c r="K46" s="38">
        <f t="shared" si="14"/>
        <v>0</v>
      </c>
      <c r="L46" s="38">
        <f t="shared" si="14"/>
        <v>0</v>
      </c>
      <c r="M46" s="38">
        <f t="shared" si="14"/>
        <v>0</v>
      </c>
      <c r="N46" s="38">
        <f t="shared" si="14"/>
        <v>0</v>
      </c>
      <c r="O46" s="38">
        <f t="shared" si="14"/>
        <v>0</v>
      </c>
      <c r="P46" s="38">
        <f t="shared" si="14"/>
        <v>0</v>
      </c>
      <c r="Q46" s="38">
        <f t="shared" si="14"/>
        <v>0</v>
      </c>
      <c r="R46" s="38">
        <f t="shared" si="14"/>
        <v>0</v>
      </c>
      <c r="S46" s="38">
        <f t="shared" si="14"/>
        <v>0</v>
      </c>
      <c r="T46" s="38">
        <f t="shared" si="14"/>
        <v>0</v>
      </c>
      <c r="U46" s="38">
        <f t="shared" si="14"/>
        <v>0</v>
      </c>
      <c r="V46" s="38">
        <f t="shared" si="14"/>
        <v>0</v>
      </c>
      <c r="W46" s="38">
        <f t="shared" si="14"/>
        <v>0</v>
      </c>
      <c r="X46" s="38">
        <f t="shared" si="14"/>
        <v>0</v>
      </c>
      <c r="Y46" s="38">
        <f t="shared" si="14"/>
        <v>0</v>
      </c>
      <c r="Z46" s="38">
        <f t="shared" si="14"/>
        <v>0</v>
      </c>
      <c r="AA46" s="38">
        <f t="shared" si="14"/>
        <v>0</v>
      </c>
      <c r="AB46" s="39">
        <f>SUM(C46:AA46)</f>
        <v>-15056304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</row>
    <row r="47" spans="1:225" s="2" customFormat="1" ht="15.75">
      <c r="A47" s="4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16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</row>
    <row r="48" spans="1:225" s="2" customFormat="1" ht="15.75">
      <c r="A48" s="45" t="s">
        <v>37</v>
      </c>
      <c r="C48" s="38">
        <f>C38+C46</f>
        <v>-5730000</v>
      </c>
      <c r="D48" s="38">
        <f>C48+D46+D38</f>
        <v>-10364527.5</v>
      </c>
      <c r="E48" s="38">
        <f t="shared" ref="E48:AA48" si="15">D48+E46+E38</f>
        <v>-14903582.5</v>
      </c>
      <c r="F48" s="38">
        <f t="shared" si="15"/>
        <v>-15248941.5</v>
      </c>
      <c r="G48" s="38">
        <f t="shared" si="15"/>
        <v>-15038343.988000005</v>
      </c>
      <c r="H48" s="38">
        <f t="shared" si="15"/>
        <v>-14827746.476000011</v>
      </c>
      <c r="I48" s="38">
        <f t="shared" si="15"/>
        <v>-14617148.964000016</v>
      </c>
      <c r="J48" s="38">
        <f t="shared" si="15"/>
        <v>-14406551.452000022</v>
      </c>
      <c r="K48" s="38">
        <f t="shared" si="15"/>
        <v>-14195953.940000027</v>
      </c>
      <c r="L48" s="38">
        <f t="shared" si="15"/>
        <v>-13505356.428000033</v>
      </c>
      <c r="M48" s="38">
        <f t="shared" si="15"/>
        <v>-12814758.916000038</v>
      </c>
      <c r="N48" s="38">
        <f t="shared" si="15"/>
        <v>-12124161.404000044</v>
      </c>
      <c r="O48" s="38">
        <f t="shared" si="15"/>
        <v>-11433563.892000049</v>
      </c>
      <c r="P48" s="38">
        <f t="shared" si="15"/>
        <v>-10742966.380000055</v>
      </c>
      <c r="Q48" s="38">
        <f t="shared" si="15"/>
        <v>-10052368.86800006</v>
      </c>
      <c r="R48" s="38">
        <f t="shared" si="15"/>
        <v>-9361771.3560000658</v>
      </c>
      <c r="S48" s="38">
        <f t="shared" si="15"/>
        <v>-8671173.8440000713</v>
      </c>
      <c r="T48" s="38">
        <f t="shared" si="15"/>
        <v>-7980576.3320000768</v>
      </c>
      <c r="U48" s="38">
        <f t="shared" si="15"/>
        <v>-7289978.8200000823</v>
      </c>
      <c r="V48" s="38">
        <f t="shared" si="15"/>
        <v>-6599381.3080000877</v>
      </c>
      <c r="W48" s="38">
        <f t="shared" si="15"/>
        <v>-5908783.7960000932</v>
      </c>
      <c r="X48" s="38">
        <f t="shared" si="15"/>
        <v>-5218186.2840000987</v>
      </c>
      <c r="Y48" s="38">
        <f t="shared" si="15"/>
        <v>-4527588.7720001042</v>
      </c>
      <c r="Z48" s="38">
        <f t="shared" si="15"/>
        <v>-3836991.2600001097</v>
      </c>
      <c r="AA48" s="46">
        <f t="shared" si="15"/>
        <v>-3146393.7480001152</v>
      </c>
      <c r="AB48" s="24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</row>
    <row r="49" spans="1:225" s="2" customFormat="1" ht="15.75">
      <c r="A49" s="45"/>
      <c r="C49" s="27"/>
      <c r="D49" s="31"/>
      <c r="E49" s="31"/>
      <c r="F49" s="47"/>
      <c r="G49" s="47"/>
      <c r="H49" s="47"/>
      <c r="I49" s="47"/>
      <c r="J49" s="47"/>
      <c r="K49" s="47"/>
      <c r="L49" s="47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16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</row>
    <row r="50" spans="1:225" s="2" customFormat="1" ht="15.75">
      <c r="A50" s="45"/>
      <c r="C50" s="27"/>
      <c r="D50" s="3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</row>
    <row r="51" spans="1:225" s="2" customFormat="1" ht="15.75" hidden="1">
      <c r="A51" s="45" t="s">
        <v>38</v>
      </c>
      <c r="C51" s="27">
        <v>0</v>
      </c>
      <c r="D51" s="27"/>
      <c r="E51" s="27"/>
      <c r="F51" s="27"/>
      <c r="G51" s="27"/>
      <c r="H51" s="27"/>
      <c r="I51" s="27"/>
      <c r="J51" s="27"/>
      <c r="K51" s="27"/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/>
      <c r="T51" s="27"/>
      <c r="U51" s="27"/>
      <c r="V51" s="27"/>
      <c r="W51" s="27"/>
      <c r="X51" s="27"/>
      <c r="Y51" s="27"/>
      <c r="Z51" s="27"/>
      <c r="AA51" s="27"/>
      <c r="AB51" s="27">
        <f>SUM(C51:R51)</f>
        <v>0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</row>
    <row r="52" spans="1:225" s="2" customFormat="1" ht="15.75" hidden="1">
      <c r="A52" s="45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</row>
    <row r="53" spans="1:225" s="2" customFormat="1" ht="15.75" hidden="1">
      <c r="A53" s="45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</row>
    <row r="54" spans="1:225" s="2" customFormat="1" ht="15.75" hidden="1">
      <c r="A54" s="4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</row>
    <row r="55" spans="1:225" s="2" customFormat="1" ht="15.75" hidden="1">
      <c r="A55" s="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</row>
    <row r="56" spans="1:225" s="2" customFormat="1" ht="15.75" hidden="1">
      <c r="A56" s="45" t="s">
        <v>39</v>
      </c>
      <c r="B56" s="2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</row>
    <row r="57" spans="1:225" s="2" customFormat="1" ht="15.75" hidden="1">
      <c r="A57" s="43"/>
      <c r="B57" s="20"/>
      <c r="C57" s="27"/>
      <c r="D57" s="27"/>
      <c r="E57" s="32"/>
      <c r="F57" s="32"/>
      <c r="G57" s="32"/>
      <c r="H57" s="32"/>
      <c r="I57" s="32"/>
      <c r="J57" s="32"/>
      <c r="K57" s="32"/>
      <c r="L57" s="32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</row>
    <row r="58" spans="1:225" s="2" customFormat="1" ht="15.75" hidden="1">
      <c r="A58" s="48" t="s">
        <v>40</v>
      </c>
      <c r="B58" s="15"/>
      <c r="C58" s="32">
        <f t="shared" ref="C58:R58" si="16">C106</f>
        <v>0</v>
      </c>
      <c r="D58" s="32"/>
      <c r="E58" s="32"/>
      <c r="F58" s="32"/>
      <c r="G58" s="32"/>
      <c r="H58" s="32"/>
      <c r="I58" s="32"/>
      <c r="J58" s="32"/>
      <c r="K58" s="32"/>
      <c r="L58" s="32">
        <f t="shared" si="16"/>
        <v>0</v>
      </c>
      <c r="M58" s="32">
        <f t="shared" si="16"/>
        <v>0</v>
      </c>
      <c r="N58" s="32">
        <f t="shared" si="16"/>
        <v>0</v>
      </c>
      <c r="O58" s="32">
        <f t="shared" si="16"/>
        <v>0</v>
      </c>
      <c r="P58" s="32">
        <f t="shared" si="16"/>
        <v>0</v>
      </c>
      <c r="Q58" s="32">
        <f t="shared" si="16"/>
        <v>0</v>
      </c>
      <c r="R58" s="32">
        <f t="shared" si="16"/>
        <v>0</v>
      </c>
      <c r="S58" s="32"/>
      <c r="T58" s="32"/>
      <c r="U58" s="32"/>
      <c r="V58" s="32"/>
      <c r="W58" s="32"/>
      <c r="X58" s="32"/>
      <c r="Y58" s="32"/>
      <c r="Z58" s="32"/>
      <c r="AA58" s="32"/>
      <c r="AB58" s="2">
        <f>SUM(C58:R58)</f>
        <v>0</v>
      </c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</row>
    <row r="59" spans="1:225" s="2" customFormat="1" ht="15.75" hidden="1">
      <c r="A59" s="45" t="s">
        <v>41</v>
      </c>
      <c r="C59" s="27">
        <v>0</v>
      </c>
      <c r="D59" s="27"/>
      <c r="E59" s="27"/>
      <c r="F59" s="27"/>
      <c r="G59" s="27"/>
      <c r="H59" s="27"/>
      <c r="I59" s="27"/>
      <c r="J59" s="27"/>
      <c r="K59" s="27"/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/>
      <c r="T59" s="27"/>
      <c r="U59" s="27"/>
      <c r="V59" s="27"/>
      <c r="W59" s="27"/>
      <c r="X59" s="27"/>
      <c r="Y59" s="27"/>
      <c r="Z59" s="27"/>
      <c r="AA59" s="27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</row>
    <row r="60" spans="1:225" s="2" customFormat="1" ht="15.75" hidden="1">
      <c r="A60" s="49" t="s">
        <v>42</v>
      </c>
      <c r="B60" s="31"/>
      <c r="C60" s="50">
        <f t="shared" ref="C60:R60" si="17">SUM(C57:C59)</f>
        <v>0</v>
      </c>
      <c r="D60" s="50"/>
      <c r="E60" s="50"/>
      <c r="F60" s="50"/>
      <c r="G60" s="50"/>
      <c r="H60" s="50"/>
      <c r="I60" s="50"/>
      <c r="J60" s="50"/>
      <c r="K60" s="50"/>
      <c r="L60" s="50">
        <f t="shared" si="17"/>
        <v>0</v>
      </c>
      <c r="M60" s="50">
        <f t="shared" si="17"/>
        <v>0</v>
      </c>
      <c r="N60" s="50">
        <f t="shared" si="17"/>
        <v>0</v>
      </c>
      <c r="O60" s="50">
        <f t="shared" si="17"/>
        <v>0</v>
      </c>
      <c r="P60" s="50">
        <f t="shared" si="17"/>
        <v>0</v>
      </c>
      <c r="Q60" s="50">
        <f t="shared" si="17"/>
        <v>0</v>
      </c>
      <c r="R60" s="50">
        <f t="shared" si="17"/>
        <v>0</v>
      </c>
      <c r="S60" s="51"/>
      <c r="T60" s="51"/>
      <c r="U60" s="51"/>
      <c r="V60" s="51"/>
      <c r="W60" s="51"/>
      <c r="X60" s="51"/>
      <c r="Y60" s="51"/>
      <c r="Z60" s="51"/>
      <c r="AA60" s="51"/>
      <c r="AB60" s="2">
        <f>SUM(C60:R60)</f>
        <v>0</v>
      </c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</row>
    <row r="61" spans="1:225" s="2" customFormat="1" ht="15.75" hidden="1">
      <c r="A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</row>
    <row r="62" spans="1:225" s="2" customFormat="1" ht="15.75" hidden="1">
      <c r="A62" s="45" t="s">
        <v>43</v>
      </c>
      <c r="B62" s="20"/>
      <c r="C62" s="26">
        <f>C38-C60-C59</f>
        <v>-480000</v>
      </c>
      <c r="D62" s="26"/>
      <c r="E62" s="26"/>
      <c r="F62" s="26"/>
      <c r="G62" s="26"/>
      <c r="H62" s="26"/>
      <c r="I62" s="26"/>
      <c r="J62" s="26"/>
      <c r="K62" s="26"/>
      <c r="L62" s="26">
        <f t="shared" ref="L62:R62" si="18">L38-L60</f>
        <v>690597.51199999452</v>
      </c>
      <c r="M62" s="26">
        <f t="shared" si="18"/>
        <v>690597.51199999452</v>
      </c>
      <c r="N62" s="26">
        <f t="shared" si="18"/>
        <v>690597.51199999452</v>
      </c>
      <c r="O62" s="26">
        <f t="shared" si="18"/>
        <v>690597.51199999452</v>
      </c>
      <c r="P62" s="26">
        <f t="shared" si="18"/>
        <v>690597.51199999452</v>
      </c>
      <c r="Q62" s="26">
        <f t="shared" si="18"/>
        <v>690597.51199999452</v>
      </c>
      <c r="R62" s="26">
        <f t="shared" si="18"/>
        <v>690597.51199999452</v>
      </c>
      <c r="S62" s="26"/>
      <c r="T62" s="26"/>
      <c r="U62" s="26"/>
      <c r="V62" s="26"/>
      <c r="W62" s="26"/>
      <c r="X62" s="26"/>
      <c r="Y62" s="26"/>
      <c r="Z62" s="26"/>
      <c r="AA62" s="26"/>
      <c r="AB62" s="2">
        <f>SUM(C62:R62)</f>
        <v>4354182.5839999616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</row>
    <row r="63" spans="1:225" s="2" customFormat="1" ht="15.75" hidden="1">
      <c r="A63" s="1"/>
      <c r="B63" s="2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1:225" s="2" customFormat="1" ht="15.75" hidden="1">
      <c r="A64" s="43" t="s">
        <v>44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53"/>
      <c r="U64" s="53"/>
      <c r="V64" s="53"/>
      <c r="W64" s="53"/>
      <c r="X64" s="53"/>
      <c r="Y64" s="53"/>
      <c r="Z64" s="53"/>
      <c r="AA64" s="53"/>
      <c r="AB64" s="2">
        <f>SUM(C64:R64)</f>
        <v>0</v>
      </c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1:225" s="2" customFormat="1" ht="15.75" hidden="1">
      <c r="A65" s="1"/>
      <c r="B65" s="2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1:225" s="2" customFormat="1" ht="16.5" hidden="1" thickBot="1">
      <c r="A66" s="45" t="s">
        <v>45</v>
      </c>
      <c r="B66" s="20"/>
      <c r="C66" s="54">
        <f t="shared" ref="C66:R66" si="19">C38+C46+C51-C64</f>
        <v>-5730000</v>
      </c>
      <c r="D66" s="54"/>
      <c r="E66" s="54"/>
      <c r="F66" s="54"/>
      <c r="G66" s="54"/>
      <c r="H66" s="54"/>
      <c r="I66" s="54"/>
      <c r="J66" s="54"/>
      <c r="K66" s="54"/>
      <c r="L66" s="54">
        <f t="shared" si="19"/>
        <v>690597.51199999452</v>
      </c>
      <c r="M66" s="54">
        <f t="shared" si="19"/>
        <v>690597.51199999452</v>
      </c>
      <c r="N66" s="54">
        <f t="shared" si="19"/>
        <v>690597.51199999452</v>
      </c>
      <c r="O66" s="54">
        <f t="shared" si="19"/>
        <v>690597.51199999452</v>
      </c>
      <c r="P66" s="54">
        <f t="shared" si="19"/>
        <v>690597.51199999452</v>
      </c>
      <c r="Q66" s="54">
        <f t="shared" si="19"/>
        <v>690597.51199999452</v>
      </c>
      <c r="R66" s="54">
        <f t="shared" si="19"/>
        <v>690597.51199999452</v>
      </c>
      <c r="S66" s="53"/>
      <c r="T66" s="53"/>
      <c r="U66" s="53"/>
      <c r="V66" s="53"/>
      <c r="W66" s="53"/>
      <c r="X66" s="53"/>
      <c r="Y66" s="53"/>
      <c r="Z66" s="53"/>
      <c r="AA66" s="53"/>
      <c r="AB66" s="2">
        <f>SUM(C66:R66)</f>
        <v>-895817.41600003839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1:225" s="2" customFormat="1" ht="15.75" hidden="1">
      <c r="A67" s="1"/>
      <c r="B67" s="20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</row>
    <row r="68" spans="1:225" s="2" customFormat="1" ht="15.75" hidden="1">
      <c r="A68" s="55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>
        <f>K68+L66</f>
        <v>690597.51199999452</v>
      </c>
      <c r="M68" s="31">
        <f t="shared" ref="M68:R68" si="20">L68+M66</f>
        <v>1381195.023999989</v>
      </c>
      <c r="N68" s="31">
        <f t="shared" si="20"/>
        <v>2071792.5359999835</v>
      </c>
      <c r="O68" s="31">
        <f t="shared" si="20"/>
        <v>2762390.0479999781</v>
      </c>
      <c r="P68" s="31">
        <f t="shared" si="20"/>
        <v>3452987.5599999726</v>
      </c>
      <c r="Q68" s="31">
        <f t="shared" si="20"/>
        <v>4143585.0719999671</v>
      </c>
      <c r="R68" s="31">
        <f t="shared" si="20"/>
        <v>4834182.5839999616</v>
      </c>
      <c r="S68" s="31"/>
      <c r="T68" s="31"/>
      <c r="U68" s="31"/>
      <c r="V68" s="31"/>
      <c r="W68" s="31"/>
      <c r="X68" s="31"/>
      <c r="Y68" s="31"/>
      <c r="Z68" s="31"/>
      <c r="AA68" s="31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</row>
    <row r="69" spans="1:225" s="2" customFormat="1" ht="15.75" hidden="1">
      <c r="A69" s="55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</row>
    <row r="70" spans="1:225" s="2" customFormat="1" ht="15.75" hidden="1">
      <c r="A70" s="55"/>
      <c r="B70" s="31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</row>
    <row r="71" spans="1:225" s="2" customFormat="1" ht="15.75" hidden="1">
      <c r="A71" s="55"/>
      <c r="B71" s="31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1:225" s="2" customFormat="1" ht="15.75" hidden="1">
      <c r="A72" s="55"/>
      <c r="B72" s="31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1:225" s="2" customFormat="1" ht="15.75" hidden="1">
      <c r="A73" s="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1:225" s="2" customFormat="1" ht="15.75" hidden="1">
      <c r="A74" s="61" t="s">
        <v>46</v>
      </c>
      <c r="B74" s="20">
        <f>NPV(0.1,C$66:H$66)</f>
        <v>-5209090.9090909082</v>
      </c>
      <c r="C74" s="62"/>
      <c r="D74" s="63"/>
      <c r="E74" s="63"/>
      <c r="F74" s="63"/>
      <c r="G74" s="6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1:225" s="2" customFormat="1" ht="15.75" hidden="1">
      <c r="A75" s="61" t="s">
        <v>47</v>
      </c>
      <c r="B75" s="20">
        <f>NPV(0.1,C$66:M$66)</f>
        <v>-4119493.031404967</v>
      </c>
      <c r="C75" s="65"/>
      <c r="D75" s="66"/>
      <c r="F75" s="20"/>
      <c r="G75" s="67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1:225" s="2" customFormat="1" ht="15.75" hidden="1">
      <c r="A76" s="61" t="s">
        <v>48</v>
      </c>
      <c r="B76" s="20">
        <f>NPV(0.1,C$66:R$66)</f>
        <v>-2152620.0701157334</v>
      </c>
      <c r="C76" s="65"/>
      <c r="D76" s="20"/>
      <c r="E76" s="20"/>
      <c r="F76" s="20"/>
      <c r="G76" s="6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1:225" s="2" customFormat="1" ht="15.75" hidden="1">
      <c r="A77" s="1"/>
      <c r="C77" s="65"/>
      <c r="D77" s="68"/>
      <c r="E77" s="20"/>
      <c r="F77" s="69"/>
      <c r="G77" s="6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1:225" s="2" customFormat="1" ht="15.75" hidden="1">
      <c r="A78" s="1"/>
      <c r="C78" s="65"/>
      <c r="D78" s="20"/>
      <c r="E78" s="20"/>
      <c r="F78" s="20"/>
      <c r="G78" s="6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1:225" s="2" customFormat="1" ht="15.75" hidden="1">
      <c r="A79" s="1"/>
      <c r="C79" s="65"/>
      <c r="D79" s="68"/>
      <c r="E79" s="20"/>
      <c r="F79" s="70"/>
      <c r="G79" s="71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1:225" s="2" customFormat="1" ht="16.5" hidden="1" thickBot="1">
      <c r="A80" s="1"/>
      <c r="C80" s="72"/>
      <c r="D80" s="73"/>
      <c r="E80" s="73"/>
      <c r="F80" s="73"/>
      <c r="G80" s="74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1:225" s="2" customFormat="1" ht="15.75" hidden="1">
      <c r="A81" s="1"/>
      <c r="C81" s="20"/>
      <c r="D81" s="20"/>
      <c r="E81" s="20"/>
      <c r="F81" s="20"/>
      <c r="G81" s="20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1:225" s="2" customFormat="1" ht="15.75" hidden="1">
      <c r="A82" s="1"/>
      <c r="C82" s="20"/>
      <c r="D82" s="20"/>
      <c r="E82" s="20"/>
      <c r="F82" s="20"/>
      <c r="G82" s="20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1:225" s="2" customFormat="1" ht="15.75" hidden="1">
      <c r="A83" s="75" t="s">
        <v>49</v>
      </c>
      <c r="C83" s="76" t="s">
        <v>50</v>
      </c>
      <c r="D83" s="76"/>
      <c r="E83" s="76"/>
      <c r="F83" s="76"/>
      <c r="G83" s="76"/>
      <c r="H83" s="76"/>
      <c r="I83" s="76"/>
      <c r="J83" s="76"/>
      <c r="K83" s="76"/>
      <c r="L83" s="76" t="s">
        <v>51</v>
      </c>
      <c r="M83" s="76" t="s">
        <v>52</v>
      </c>
      <c r="N83" s="76" t="s">
        <v>53</v>
      </c>
      <c r="O83" s="76" t="s">
        <v>54</v>
      </c>
      <c r="P83" s="76" t="s">
        <v>55</v>
      </c>
      <c r="Q83" s="76" t="s">
        <v>56</v>
      </c>
      <c r="R83" s="76" t="s">
        <v>57</v>
      </c>
      <c r="S83" s="76"/>
      <c r="T83" s="76"/>
      <c r="U83" s="76"/>
      <c r="V83" s="76"/>
      <c r="W83" s="76"/>
      <c r="X83" s="76"/>
      <c r="Y83" s="76"/>
      <c r="Z83" s="76"/>
      <c r="AA83" s="76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1:225" s="2" customFormat="1" ht="15.75" hidden="1">
      <c r="A84" s="77" t="s">
        <v>58</v>
      </c>
      <c r="C84" s="66" t="s">
        <v>59</v>
      </c>
      <c r="D84" s="66"/>
      <c r="E84" s="66"/>
      <c r="F84" s="66"/>
      <c r="G84" s="66"/>
      <c r="H84" s="66"/>
      <c r="I84" s="66"/>
      <c r="J84" s="66"/>
      <c r="K84" s="66"/>
      <c r="L84" s="66" t="s">
        <v>60</v>
      </c>
      <c r="M84" s="66" t="s">
        <v>60</v>
      </c>
      <c r="N84" s="66" t="s">
        <v>60</v>
      </c>
      <c r="O84" s="66" t="s">
        <v>60</v>
      </c>
      <c r="P84" s="66" t="s">
        <v>60</v>
      </c>
      <c r="Q84" s="66" t="s">
        <v>60</v>
      </c>
      <c r="R84" s="66" t="s">
        <v>60</v>
      </c>
      <c r="S84" s="66"/>
      <c r="T84" s="66"/>
      <c r="U84" s="66"/>
      <c r="V84" s="66"/>
      <c r="W84" s="66"/>
      <c r="X84" s="66"/>
      <c r="Y84" s="66"/>
      <c r="Z84" s="66"/>
      <c r="AA84" s="66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1:225" s="2" customFormat="1" ht="15.75" hidden="1">
      <c r="A85" s="75" t="s">
        <v>61</v>
      </c>
      <c r="C85" s="20">
        <v>0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">
        <f t="shared" ref="AB85:AB95" si="21">SUM(C85:R85)</f>
        <v>0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1:225" s="2" customFormat="1" ht="15.75" hidden="1">
      <c r="A86" s="75"/>
      <c r="C86" s="20"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AB86" s="2">
        <f t="shared" si="21"/>
        <v>0</v>
      </c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1:225" s="2" customFormat="1" ht="15.75" hidden="1">
      <c r="A87" s="75"/>
      <c r="C87" s="20">
        <v>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AB87" s="2">
        <f t="shared" si="21"/>
        <v>0</v>
      </c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1:225" s="2" customFormat="1" ht="15.75" hidden="1">
      <c r="A88" s="75"/>
      <c r="C88" s="20">
        <f>-$C$44*0.1429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AB88" s="2">
        <f t="shared" si="21"/>
        <v>0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1:225" s="2" customFormat="1" ht="15.75" hidden="1">
      <c r="A89" s="75"/>
      <c r="C89" s="20"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AB89" s="2">
        <f t="shared" si="21"/>
        <v>0</v>
      </c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1:225" s="2" customFormat="1" ht="15.75" hidden="1">
      <c r="A90" s="75"/>
      <c r="C90" s="20">
        <v>0</v>
      </c>
      <c r="D90" s="20"/>
      <c r="E90" s="20"/>
      <c r="F90" s="20"/>
      <c r="G90" s="20"/>
      <c r="H90" s="20"/>
      <c r="I90" s="20"/>
      <c r="J90" s="20"/>
      <c r="K90" s="20"/>
      <c r="L90" s="20">
        <f>-$E$44*0.0446</f>
        <v>0</v>
      </c>
      <c r="M90" s="20"/>
      <c r="N90" s="20"/>
      <c r="O90" s="20"/>
      <c r="AB90" s="2">
        <f t="shared" si="21"/>
        <v>0</v>
      </c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1:225" s="2" customFormat="1" ht="15.75" hidden="1">
      <c r="A91" s="75"/>
      <c r="C91" s="20">
        <v>0</v>
      </c>
      <c r="D91" s="20"/>
      <c r="E91" s="20"/>
      <c r="F91" s="20"/>
      <c r="G91" s="20"/>
      <c r="H91" s="20"/>
      <c r="I91" s="20"/>
      <c r="J91" s="20"/>
      <c r="K91" s="20"/>
      <c r="L91" s="20">
        <f>-$F$44*0.0893</f>
        <v>0</v>
      </c>
      <c r="M91" s="20">
        <f>-$F$44*0.0446</f>
        <v>0</v>
      </c>
      <c r="N91" s="20"/>
      <c r="O91" s="20"/>
      <c r="P91" s="20"/>
      <c r="AB91" s="2">
        <f t="shared" si="21"/>
        <v>0</v>
      </c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1:225" s="2" customFormat="1" ht="15.75" hidden="1">
      <c r="A92" s="75"/>
      <c r="C92" s="20">
        <v>0</v>
      </c>
      <c r="D92" s="20"/>
      <c r="E92" s="20"/>
      <c r="F92" s="20"/>
      <c r="G92" s="20"/>
      <c r="H92" s="20"/>
      <c r="I92" s="20"/>
      <c r="J92" s="20"/>
      <c r="K92" s="20"/>
      <c r="L92" s="20">
        <f>-$G$44*0.0892</f>
        <v>0</v>
      </c>
      <c r="M92" s="20">
        <f>-$G$44*0.0893</f>
        <v>0</v>
      </c>
      <c r="N92" s="20">
        <f>-$G$44*0.0446</f>
        <v>0</v>
      </c>
      <c r="O92" s="20"/>
      <c r="P92" s="20"/>
      <c r="Q92" s="20">
        <f>-J$44*0.0446</f>
        <v>0</v>
      </c>
      <c r="AB92" s="2">
        <f t="shared" si="21"/>
        <v>0</v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</row>
    <row r="93" spans="1:225" s="2" customFormat="1" ht="15.75" hidden="1">
      <c r="A93" s="75"/>
      <c r="C93" s="20">
        <v>0</v>
      </c>
      <c r="D93" s="20"/>
      <c r="E93" s="20"/>
      <c r="F93" s="20"/>
      <c r="G93" s="20"/>
      <c r="H93" s="20"/>
      <c r="I93" s="20"/>
      <c r="J93" s="20"/>
      <c r="K93" s="20"/>
      <c r="L93" s="20">
        <f>-L$44*0.1429</f>
        <v>0</v>
      </c>
      <c r="M93" s="20">
        <f>-I$43*0.1249</f>
        <v>0</v>
      </c>
      <c r="N93" s="20">
        <f>-I$43*0.0893</f>
        <v>0</v>
      </c>
      <c r="O93" s="20">
        <f>-I$43*0.0892</f>
        <v>0</v>
      </c>
      <c r="P93" s="20">
        <f>-I$43*0.0893</f>
        <v>0</v>
      </c>
      <c r="Q93" s="20">
        <f>-I$43*0.0446</f>
        <v>0</v>
      </c>
      <c r="R93" s="20">
        <f>-K$44*0.0446</f>
        <v>0</v>
      </c>
      <c r="S93" s="20"/>
      <c r="T93" s="20"/>
      <c r="U93" s="20"/>
      <c r="V93" s="20"/>
      <c r="W93" s="20"/>
      <c r="X93" s="20"/>
      <c r="Y93" s="20"/>
      <c r="Z93" s="20"/>
      <c r="AA93" s="20"/>
      <c r="AB93" s="2">
        <f t="shared" si="21"/>
        <v>0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</row>
    <row r="94" spans="1:225" s="2" customFormat="1" ht="15.75" hidden="1">
      <c r="A94" s="75"/>
      <c r="C94" s="20">
        <v>0</v>
      </c>
      <c r="D94" s="20"/>
      <c r="E94" s="20"/>
      <c r="F94" s="20"/>
      <c r="G94" s="20"/>
      <c r="H94" s="20"/>
      <c r="I94" s="20"/>
      <c r="J94" s="20"/>
      <c r="K94" s="20"/>
      <c r="L94" s="20">
        <v>0</v>
      </c>
      <c r="M94" s="20">
        <f>-L$44*0.2449</f>
        <v>0</v>
      </c>
      <c r="N94" s="20">
        <f>-L$44*0.1749</f>
        <v>0</v>
      </c>
      <c r="O94" s="20">
        <f>-L$44*0.1249</f>
        <v>0</v>
      </c>
      <c r="P94" s="20">
        <f>-L$44*0.0893</f>
        <v>0</v>
      </c>
      <c r="Q94" s="20">
        <f>-L$44*0.0892</f>
        <v>0</v>
      </c>
      <c r="R94" s="20">
        <f>-L$44*0.0893</f>
        <v>0</v>
      </c>
      <c r="S94" s="20"/>
      <c r="T94" s="20"/>
      <c r="U94" s="20"/>
      <c r="V94" s="20"/>
      <c r="W94" s="20"/>
      <c r="X94" s="20"/>
      <c r="Y94" s="20"/>
      <c r="Z94" s="20"/>
      <c r="AA94" s="20"/>
      <c r="AB94" s="2">
        <f t="shared" si="21"/>
        <v>0</v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</row>
    <row r="95" spans="1:225" s="2" customFormat="1" ht="15.75" hidden="1">
      <c r="A95" s="75"/>
      <c r="C95" s="20">
        <v>0</v>
      </c>
      <c r="D95" s="20"/>
      <c r="E95" s="20"/>
      <c r="F95" s="20"/>
      <c r="G95" s="20"/>
      <c r="H95" s="20"/>
      <c r="I95" s="20"/>
      <c r="J95" s="20"/>
      <c r="K95" s="20"/>
      <c r="L95" s="20">
        <v>0</v>
      </c>
      <c r="M95" s="20">
        <f>-M$44*0.1429</f>
        <v>0</v>
      </c>
      <c r="N95" s="20">
        <f>-M$44*0.2449</f>
        <v>0</v>
      </c>
      <c r="O95" s="20">
        <f>-M$44*0.1749</f>
        <v>0</v>
      </c>
      <c r="P95" s="20">
        <f>-M$44*0.1249</f>
        <v>0</v>
      </c>
      <c r="Q95" s="20">
        <f>-M$44*0.0893</f>
        <v>0</v>
      </c>
      <c r="R95" s="20">
        <f>-M$44*0.0892</f>
        <v>0</v>
      </c>
      <c r="S95" s="20"/>
      <c r="T95" s="20"/>
      <c r="U95" s="20"/>
      <c r="V95" s="20"/>
      <c r="W95" s="20"/>
      <c r="X95" s="20"/>
      <c r="Y95" s="20"/>
      <c r="Z95" s="20"/>
      <c r="AA95" s="20"/>
      <c r="AB95" s="2">
        <f t="shared" si="21"/>
        <v>0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1:225" s="2" customFormat="1" ht="15.75" hidden="1">
      <c r="A96" s="75"/>
      <c r="C96" s="20">
        <v>0</v>
      </c>
      <c r="D96" s="20"/>
      <c r="E96" s="20"/>
      <c r="F96" s="20"/>
      <c r="G96" s="20"/>
      <c r="H96" s="20"/>
      <c r="I96" s="20"/>
      <c r="J96" s="20"/>
      <c r="K96" s="20"/>
      <c r="L96" s="20">
        <v>0</v>
      </c>
      <c r="M96" s="20">
        <v>0</v>
      </c>
      <c r="N96" s="20">
        <f>-N$44*0.1429</f>
        <v>0</v>
      </c>
      <c r="O96" s="20">
        <f>-N$44*0.2449</f>
        <v>0</v>
      </c>
      <c r="P96" s="20">
        <f>-N$44*0.1749</f>
        <v>0</v>
      </c>
      <c r="Q96" s="20">
        <f>-N$44*0.1249</f>
        <v>0</v>
      </c>
      <c r="R96" s="20">
        <f>-N$44*0.0893</f>
        <v>0</v>
      </c>
      <c r="S96" s="20"/>
      <c r="T96" s="20"/>
      <c r="U96" s="20"/>
      <c r="V96" s="20"/>
      <c r="W96" s="20"/>
      <c r="X96" s="20"/>
      <c r="Y96" s="20"/>
      <c r="Z96" s="20"/>
      <c r="AA96" s="20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1:225" s="2" customFormat="1" ht="15.75" hidden="1">
      <c r="A97" s="75"/>
      <c r="C97" s="20">
        <v>0</v>
      </c>
      <c r="D97" s="20"/>
      <c r="E97" s="20"/>
      <c r="F97" s="20"/>
      <c r="G97" s="20"/>
      <c r="H97" s="20"/>
      <c r="I97" s="20"/>
      <c r="J97" s="20"/>
      <c r="K97" s="20"/>
      <c r="L97" s="20">
        <v>0</v>
      </c>
      <c r="M97" s="20">
        <v>0</v>
      </c>
      <c r="N97" s="20">
        <v>0</v>
      </c>
      <c r="O97" s="20">
        <f>-O$44*0.1429</f>
        <v>0</v>
      </c>
      <c r="P97" s="20">
        <f>-O$44*0.2449</f>
        <v>0</v>
      </c>
      <c r="Q97" s="20">
        <f>-O$44*0.1749</f>
        <v>0</v>
      </c>
      <c r="R97" s="20">
        <f>-O$44*0.1249</f>
        <v>0</v>
      </c>
      <c r="S97" s="20"/>
      <c r="T97" s="20"/>
      <c r="U97" s="20"/>
      <c r="V97" s="20"/>
      <c r="W97" s="20"/>
      <c r="X97" s="20"/>
      <c r="Y97" s="20"/>
      <c r="Z97" s="20"/>
      <c r="AA97" s="20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1:225" s="2" customFormat="1" ht="15.75" hidden="1">
      <c r="A98" s="75"/>
      <c r="C98" s="20">
        <v>0</v>
      </c>
      <c r="D98" s="20"/>
      <c r="E98" s="20"/>
      <c r="F98" s="20"/>
      <c r="G98" s="20"/>
      <c r="H98" s="20"/>
      <c r="I98" s="20"/>
      <c r="J98" s="20"/>
      <c r="K98" s="20"/>
      <c r="L98" s="20">
        <v>0</v>
      </c>
      <c r="M98" s="20">
        <v>0</v>
      </c>
      <c r="N98" s="20">
        <v>0</v>
      </c>
      <c r="O98" s="20">
        <v>0</v>
      </c>
      <c r="P98" s="20">
        <f>-P$44*0.1429</f>
        <v>0</v>
      </c>
      <c r="Q98" s="20">
        <f>-P$44*0.2449</f>
        <v>0</v>
      </c>
      <c r="R98" s="20">
        <f>-P$44*0.1749</f>
        <v>0</v>
      </c>
      <c r="S98" s="20"/>
      <c r="T98" s="20"/>
      <c r="U98" s="20"/>
      <c r="V98" s="20"/>
      <c r="W98" s="20"/>
      <c r="X98" s="20"/>
      <c r="Y98" s="20"/>
      <c r="Z98" s="20"/>
      <c r="AA98" s="20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</row>
    <row r="99" spans="1:225" s="2" customFormat="1" ht="15.75" hidden="1">
      <c r="A99" s="75"/>
      <c r="C99" s="20">
        <v>0</v>
      </c>
      <c r="D99" s="20"/>
      <c r="E99" s="20"/>
      <c r="F99" s="20"/>
      <c r="G99" s="20"/>
      <c r="H99" s="20"/>
      <c r="I99" s="20"/>
      <c r="J99" s="20"/>
      <c r="K99" s="20"/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f>-Q$44*0.1429</f>
        <v>0</v>
      </c>
      <c r="R99" s="20">
        <f>-Q$44*0.2449</f>
        <v>0</v>
      </c>
      <c r="S99" s="20"/>
      <c r="T99" s="20"/>
      <c r="U99" s="20"/>
      <c r="V99" s="20"/>
      <c r="W99" s="20"/>
      <c r="X99" s="20"/>
      <c r="Y99" s="20"/>
      <c r="Z99" s="20"/>
      <c r="AA99" s="20"/>
      <c r="AB99" s="20">
        <f>-Q$44*0.0446</f>
        <v>0</v>
      </c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</row>
    <row r="100" spans="1:225" s="2" customFormat="1" ht="15.75" hidden="1">
      <c r="A100" s="75"/>
      <c r="C100" s="20">
        <v>0</v>
      </c>
      <c r="D100" s="20"/>
      <c r="E100" s="20"/>
      <c r="F100" s="20"/>
      <c r="G100" s="20"/>
      <c r="H100" s="20"/>
      <c r="I100" s="20"/>
      <c r="J100" s="20"/>
      <c r="K100" s="20"/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f>-R$44*0.1429</f>
        <v>0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>
        <f>-R$44*0.0893</f>
        <v>0</v>
      </c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</row>
    <row r="101" spans="1:225" s="2" customFormat="1" ht="15.75" hidden="1">
      <c r="A101" s="75"/>
      <c r="C101" s="20">
        <v>0</v>
      </c>
      <c r="D101" s="20"/>
      <c r="E101" s="20"/>
      <c r="F101" s="20"/>
      <c r="G101" s="20"/>
      <c r="H101" s="20"/>
      <c r="I101" s="20"/>
      <c r="J101" s="20"/>
      <c r="K101" s="20"/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/>
      <c r="T101" s="20"/>
      <c r="U101" s="20"/>
      <c r="V101" s="20"/>
      <c r="W101" s="20"/>
      <c r="X101" s="20"/>
      <c r="Y101" s="20"/>
      <c r="Z101" s="20"/>
      <c r="AA101" s="20"/>
      <c r="AB101" s="20" t="e">
        <f>-#REF!*0.0892</f>
        <v>#REF!</v>
      </c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</row>
    <row r="102" spans="1:225" s="2" customFormat="1" ht="15.75" hidden="1">
      <c r="A102" s="75"/>
      <c r="C102" s="20">
        <v>0</v>
      </c>
      <c r="D102" s="20"/>
      <c r="E102" s="20"/>
      <c r="F102" s="20"/>
      <c r="G102" s="20"/>
      <c r="H102" s="20"/>
      <c r="I102" s="20"/>
      <c r="J102" s="20"/>
      <c r="K102" s="20"/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/>
      <c r="T102" s="20"/>
      <c r="U102" s="20"/>
      <c r="V102" s="20"/>
      <c r="W102" s="20"/>
      <c r="X102" s="20"/>
      <c r="Y102" s="20"/>
      <c r="Z102" s="20"/>
      <c r="AA102" s="20"/>
      <c r="AB102" s="20" t="e">
        <f>-#REF!*0.0893</f>
        <v>#REF!</v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</row>
    <row r="103" spans="1:225" s="2" customFormat="1" ht="15.75" hidden="1">
      <c r="A103" s="75"/>
      <c r="C103" s="20">
        <v>0</v>
      </c>
      <c r="D103" s="20"/>
      <c r="E103" s="20"/>
      <c r="F103" s="20"/>
      <c r="G103" s="20"/>
      <c r="H103" s="20"/>
      <c r="I103" s="20"/>
      <c r="J103" s="20"/>
      <c r="K103" s="20"/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 t="e">
        <f>-#REF!*0.1249</f>
        <v>#REF!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</row>
    <row r="104" spans="1:225" s="2" customFormat="1" ht="15.75" hidden="1">
      <c r="A104" s="75"/>
      <c r="C104" s="20">
        <v>0</v>
      </c>
      <c r="D104" s="20"/>
      <c r="E104" s="20"/>
      <c r="F104" s="20"/>
      <c r="G104" s="20"/>
      <c r="H104" s="20"/>
      <c r="I104" s="20"/>
      <c r="J104" s="20"/>
      <c r="K104" s="20"/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/>
      <c r="T104" s="20"/>
      <c r="U104" s="20"/>
      <c r="V104" s="20"/>
      <c r="W104" s="20"/>
      <c r="X104" s="20"/>
      <c r="Y104" s="20"/>
      <c r="Z104" s="20"/>
      <c r="AA104" s="20"/>
      <c r="AB104" s="20" t="e">
        <f>-#REF!*0.1749</f>
        <v>#REF!</v>
      </c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</row>
    <row r="105" spans="1:225" s="2" customFormat="1" ht="15.75" hidden="1">
      <c r="A105" s="75"/>
      <c r="C105" s="20">
        <v>0</v>
      </c>
      <c r="D105" s="20"/>
      <c r="E105" s="20"/>
      <c r="F105" s="20"/>
      <c r="G105" s="20"/>
      <c r="H105" s="20"/>
      <c r="I105" s="20"/>
      <c r="J105" s="20"/>
      <c r="K105" s="20"/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 t="e">
        <f>-#REF!*0.2449</f>
        <v>#REF!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</row>
    <row r="106" spans="1:225" s="2" customFormat="1" ht="15.75" hidden="1">
      <c r="A106" s="75"/>
      <c r="C106" s="20">
        <f t="shared" ref="C106:AB106" si="22">SUM(C85:C105)</f>
        <v>0</v>
      </c>
      <c r="D106" s="20"/>
      <c r="E106" s="20"/>
      <c r="F106" s="20"/>
      <c r="G106" s="20"/>
      <c r="H106" s="20"/>
      <c r="I106" s="20"/>
      <c r="J106" s="20"/>
      <c r="K106" s="20"/>
      <c r="L106" s="20">
        <f t="shared" si="22"/>
        <v>0</v>
      </c>
      <c r="M106" s="20">
        <f t="shared" si="22"/>
        <v>0</v>
      </c>
      <c r="N106" s="20">
        <f t="shared" si="22"/>
        <v>0</v>
      </c>
      <c r="O106" s="20">
        <f t="shared" si="22"/>
        <v>0</v>
      </c>
      <c r="P106" s="20">
        <f t="shared" si="22"/>
        <v>0</v>
      </c>
      <c r="Q106" s="20">
        <f t="shared" si="22"/>
        <v>0</v>
      </c>
      <c r="R106" s="20">
        <f t="shared" si="22"/>
        <v>0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 t="e">
        <f t="shared" si="22"/>
        <v>#REF!</v>
      </c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</row>
    <row r="107" spans="1:225" s="2" customFormat="1" ht="15.75" hidden="1">
      <c r="A107" s="75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</row>
    <row r="108" spans="1:225" s="2" customFormat="1" ht="15.75" hidden="1">
      <c r="A108" s="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</row>
    <row r="109" spans="1:225" s="2" customFormat="1" ht="15.75" hidden="1">
      <c r="A109" s="1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</row>
    <row r="110" spans="1:225" s="2" customFormat="1" ht="15.75" hidden="1">
      <c r="A110" s="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</row>
    <row r="111" spans="1:225" s="2" customFormat="1" ht="15.75" hidden="1">
      <c r="A111" s="75" t="s">
        <v>62</v>
      </c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</row>
    <row r="112" spans="1:225" s="2" customFormat="1" ht="15.75" hidden="1">
      <c r="A112" s="77" t="s">
        <v>58</v>
      </c>
      <c r="B112" s="66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</row>
    <row r="113" spans="1:225" s="2" customFormat="1" ht="15.75" hidden="1">
      <c r="A113" s="45" t="s">
        <v>63</v>
      </c>
      <c r="B113" s="20">
        <v>0</v>
      </c>
      <c r="C113" s="20">
        <v>0</v>
      </c>
      <c r="D113" s="20"/>
      <c r="E113" s="20"/>
      <c r="F113" s="20"/>
      <c r="G113" s="20"/>
      <c r="H113" s="20"/>
      <c r="I113" s="20"/>
      <c r="J113" s="20"/>
      <c r="K113" s="20"/>
      <c r="L113" s="20">
        <f>(K113+1)</f>
        <v>1</v>
      </c>
      <c r="M113" s="20">
        <f t="shared" ref="M113:O113" si="23">(L113+1)</f>
        <v>2</v>
      </c>
      <c r="N113" s="20">
        <f t="shared" si="23"/>
        <v>3</v>
      </c>
      <c r="O113" s="20">
        <f t="shared" si="23"/>
        <v>4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</row>
    <row r="114" spans="1:225" s="2" customFormat="1" ht="15.75" hidden="1">
      <c r="A114" s="45" t="s">
        <v>64</v>
      </c>
      <c r="B114" s="20">
        <f>B66</f>
        <v>0</v>
      </c>
      <c r="C114" s="20">
        <f>C66*(1/(1+0.02)^C113)</f>
        <v>-5730000</v>
      </c>
      <c r="D114" s="20"/>
      <c r="E114" s="20"/>
      <c r="F114" s="20"/>
      <c r="G114" s="20"/>
      <c r="H114" s="20"/>
      <c r="I114" s="20"/>
      <c r="J114" s="20"/>
      <c r="K114" s="20"/>
      <c r="L114" s="20">
        <f t="shared" ref="L114:O114" si="24">L66*(1/(1+0.02)^L113)</f>
        <v>677056.38431372005</v>
      </c>
      <c r="M114" s="20">
        <f t="shared" si="24"/>
        <v>663780.76893501973</v>
      </c>
      <c r="N114" s="20">
        <f t="shared" si="24"/>
        <v>650765.45974021545</v>
      </c>
      <c r="O114" s="20">
        <f t="shared" si="24"/>
        <v>638005.35268648574</v>
      </c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</row>
    <row r="115" spans="1:225" s="2" customFormat="1" ht="15.75" hidden="1">
      <c r="A115" s="45" t="s">
        <v>65</v>
      </c>
      <c r="B115" s="20">
        <f>B114</f>
        <v>0</v>
      </c>
      <c r="C115" s="20">
        <f t="shared" ref="C115:O115" si="25">C114+B115</f>
        <v>-5730000</v>
      </c>
      <c r="D115" s="20"/>
      <c r="E115" s="20"/>
      <c r="F115" s="20"/>
      <c r="G115" s="20"/>
      <c r="H115" s="20"/>
      <c r="I115" s="20"/>
      <c r="J115" s="20"/>
      <c r="K115" s="20"/>
      <c r="L115" s="20">
        <f>L114+K115</f>
        <v>677056.38431372005</v>
      </c>
      <c r="M115" s="20">
        <f t="shared" si="25"/>
        <v>1340837.1532487399</v>
      </c>
      <c r="N115" s="20">
        <f t="shared" si="25"/>
        <v>1991602.6129889553</v>
      </c>
      <c r="O115" s="20">
        <f t="shared" si="25"/>
        <v>2629607.9656754411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</row>
    <row r="116" spans="1:225" s="2" customFormat="1" ht="15.75" hidden="1">
      <c r="A116" s="45" t="s">
        <v>66</v>
      </c>
      <c r="C116" s="78">
        <f t="shared" ref="C116:O116" si="26">B113+(B115*-1/(C115-B115))</f>
        <v>0</v>
      </c>
      <c r="D116" s="78"/>
      <c r="E116" s="78"/>
      <c r="F116" s="78"/>
      <c r="G116" s="78"/>
      <c r="H116" s="78"/>
      <c r="I116" s="78"/>
      <c r="J116" s="78"/>
      <c r="K116" s="78"/>
      <c r="L116" s="78">
        <f>K113+(K115*-1/(L115-K115))</f>
        <v>0</v>
      </c>
      <c r="M116" s="78">
        <f t="shared" si="26"/>
        <v>-1.9999999999999796E-2</v>
      </c>
      <c r="N116" s="78">
        <f t="shared" si="26"/>
        <v>-6.0400000000000009E-2</v>
      </c>
      <c r="O116" s="78">
        <f t="shared" si="26"/>
        <v>-0.12160799999999972</v>
      </c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</row>
    <row r="117" spans="1:225" s="2" customFormat="1" ht="15.75" hidden="1">
      <c r="A117" s="45" t="s">
        <v>67</v>
      </c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  <row r="118" spans="1:225" s="2" customFormat="1" ht="15.75" hidden="1">
      <c r="A118" s="1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</row>
    <row r="119" spans="1:225" s="2" customFormat="1" ht="15.75" hidden="1">
      <c r="A119" s="1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</row>
    <row r="120" spans="1:225" s="2" customFormat="1" ht="15.75" hidden="1">
      <c r="A120" s="1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</row>
    <row r="121" spans="1:225" s="2" customFormat="1" ht="15.75" hidden="1">
      <c r="A121" s="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</row>
    <row r="122" spans="1:225" s="2" customFormat="1" ht="15.75" hidden="1">
      <c r="A122" s="1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</row>
    <row r="123" spans="1:225" s="2" customFormat="1" ht="15.75" hidden="1">
      <c r="A123" s="1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</row>
    <row r="124" spans="1:225" s="2" customFormat="1" ht="15.75" hidden="1">
      <c r="A124" s="79" t="s">
        <v>68</v>
      </c>
      <c r="B124" s="80">
        <v>0.4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</row>
    <row r="125" spans="1:225" s="2" customFormat="1" ht="15.75" hidden="1">
      <c r="A125" s="1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</row>
    <row r="126" spans="1:225" s="2" customFormat="1" ht="15.75">
      <c r="A126" s="1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</row>
    <row r="127" spans="1:225">
      <c r="A127" s="14"/>
      <c r="D127" s="81"/>
      <c r="E127" s="81"/>
      <c r="F127" s="81"/>
      <c r="J127" s="82"/>
    </row>
    <row r="128" spans="1:225">
      <c r="A128" s="14"/>
      <c r="D128" s="81"/>
      <c r="E128" s="83"/>
      <c r="F128" s="81"/>
      <c r="H128" s="84"/>
    </row>
    <row r="129" spans="1:10">
      <c r="A129" s="14"/>
      <c r="H129" s="84"/>
      <c r="J129" s="82"/>
    </row>
    <row r="130" spans="1:10">
      <c r="A130" s="85"/>
      <c r="F130" s="81"/>
      <c r="H130" s="82"/>
    </row>
    <row r="131" spans="1:10">
      <c r="A131" s="85"/>
    </row>
    <row r="132" spans="1:10">
      <c r="A132" s="85"/>
    </row>
    <row r="133" spans="1:10">
      <c r="A133" s="85"/>
    </row>
    <row r="134" spans="1:10">
      <c r="A134" s="85"/>
    </row>
    <row r="135" spans="1:10">
      <c r="A135" s="85"/>
    </row>
  </sheetData>
  <printOptions gridLinesSet="0"/>
  <pageMargins left="0.5" right="0.5" top="0.75" bottom="0.25" header="0.5" footer="0.5"/>
  <pageSetup scale="40" fitToHeight="2" orientation="landscape" r:id="rId1"/>
  <headerFooter alignWithMargins="0"/>
  <colBreaks count="1" manualBreakCount="1">
    <brk id="11" max="1048575" man="1"/>
  </colBreaks>
  <ignoredErrors>
    <ignoredError sqref="D13:AB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Full rebuild</vt:lpstr>
      <vt:lpstr>Rebuild D&amp;C, B apts</vt:lpstr>
      <vt:lpstr>Rebuild D only</vt:lpstr>
      <vt:lpstr>'Full rebuild'!Print_Titles</vt:lpstr>
      <vt:lpstr>'Rebuild D only'!Print_Titles</vt:lpstr>
      <vt:lpstr>'Rebuild D&amp;C, B apts'!Print_Titles</vt:lpstr>
      <vt:lpstr>'Full rebuild'!ROI</vt:lpstr>
      <vt:lpstr>'Rebuild D only'!ROI</vt:lpstr>
      <vt:lpstr>'Rebuild D&amp;C, B apts'!ROI</vt:lpstr>
      <vt:lpstr>'Full rebuild'!TAXES__37.7___</vt:lpstr>
      <vt:lpstr>'Rebuild D only'!TAXES__37.7___</vt:lpstr>
      <vt:lpstr>'Rebuild D&amp;C, B apts'!TAXES__37.7___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Molchany</dc:creator>
  <cp:lastModifiedBy>Richard Molchany</cp:lastModifiedBy>
  <dcterms:created xsi:type="dcterms:W3CDTF">2015-08-06T17:25:14Z</dcterms:created>
  <dcterms:modified xsi:type="dcterms:W3CDTF">2015-08-06T17:35:18Z</dcterms:modified>
</cp:coreProperties>
</file>